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eyejx\Desktop\"/>
    </mc:Choice>
  </mc:AlternateContent>
  <xr:revisionPtr revIDLastSave="0" documentId="13_ncr:1_{89B189F2-25CE-4C48-9575-BBE2AFB858A2}" xr6:coauthVersionLast="47" xr6:coauthVersionMax="47" xr10:uidLastSave="{00000000-0000-0000-0000-000000000000}"/>
  <bookViews>
    <workbookView xWindow="-120" yWindow="-120" windowWidth="29040" windowHeight="17640" tabRatio="813" xr2:uid="{514E4104-D112-4086-8AF7-4B1689E1875D}"/>
  </bookViews>
  <sheets>
    <sheet name="Training Material" sheetId="6" r:id="rId1"/>
    <sheet name="Manuals SINUMERIK ONE" sheetId="14" r:id="rId2"/>
    <sheet name="Manuals 840D sl - 828D" sheetId="8" r:id="rId3"/>
    <sheet name="Important websites" sheetId="9" r:id="rId4"/>
    <sheet name="Social Media channels" sheetId="11" r:id="rId5"/>
    <sheet name="Join our Contact List" sheetId="13" r:id="rId6"/>
    <sheet name="Additional websites" sheetId="12" r:id="rId7"/>
  </sheets>
  <definedNames>
    <definedName name="_xlnm._FilterDatabase" localSheetId="0" hidden="1">'Training Material'!$A$10:$F$160</definedName>
    <definedName name="_xlnm.Print_Area" localSheetId="0">'Training Material'!$A:$F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6" i="6" l="1"/>
  <c r="M166" i="6"/>
  <c r="N165" i="6"/>
  <c r="M165" i="6"/>
  <c r="N164" i="6"/>
  <c r="M164" i="6"/>
  <c r="N163" i="6"/>
  <c r="M163" i="6"/>
  <c r="N162" i="6"/>
  <c r="M162" i="6"/>
  <c r="N161" i="6"/>
  <c r="M161" i="6"/>
  <c r="C268" i="8"/>
  <c r="C53" i="8"/>
  <c r="C17" i="8"/>
  <c r="C267" i="8"/>
  <c r="C52" i="8"/>
  <c r="C16" i="8"/>
  <c r="C269" i="8"/>
  <c r="C266" i="8"/>
  <c r="C265" i="8"/>
  <c r="C263" i="8"/>
  <c r="C262" i="8"/>
  <c r="C261" i="8"/>
  <c r="C260" i="8"/>
  <c r="C259" i="8"/>
  <c r="C129" i="8"/>
  <c r="C128" i="8"/>
  <c r="C127" i="8"/>
  <c r="C126" i="8"/>
  <c r="C120" i="8"/>
  <c r="C118" i="8"/>
  <c r="C117" i="8"/>
  <c r="C116" i="8"/>
  <c r="C115" i="8"/>
  <c r="C114" i="8"/>
  <c r="C113" i="8"/>
  <c r="C112" i="8"/>
  <c r="C108" i="8"/>
  <c r="C107" i="8"/>
  <c r="C106" i="8"/>
  <c r="C105" i="8"/>
  <c r="C100" i="8"/>
  <c r="C99" i="8"/>
  <c r="C98" i="8"/>
  <c r="C97" i="8"/>
  <c r="C96" i="8"/>
  <c r="C95" i="8"/>
  <c r="C94" i="8"/>
  <c r="C93" i="8"/>
  <c r="C92" i="8"/>
  <c r="C89" i="8"/>
  <c r="C88" i="8"/>
  <c r="C87" i="8"/>
  <c r="C86" i="8"/>
  <c r="C85" i="8"/>
  <c r="C84" i="8"/>
  <c r="C82" i="8"/>
  <c r="C81" i="8"/>
  <c r="C80" i="8"/>
  <c r="C79" i="8"/>
  <c r="C78" i="8"/>
  <c r="C77" i="8"/>
  <c r="C75" i="8"/>
  <c r="C74" i="8"/>
  <c r="C70" i="8"/>
  <c r="C69" i="8"/>
  <c r="C68" i="8"/>
  <c r="C67" i="8"/>
  <c r="C66" i="8"/>
  <c r="C65" i="8"/>
  <c r="C64" i="8"/>
  <c r="C63" i="8"/>
  <c r="C62" i="8"/>
  <c r="C61" i="8"/>
  <c r="C60" i="8"/>
  <c r="C58" i="8"/>
  <c r="C57" i="8"/>
  <c r="C56" i="8"/>
  <c r="C55" i="8"/>
  <c r="C54" i="8"/>
  <c r="C51" i="8"/>
  <c r="C50" i="8"/>
  <c r="C49" i="8"/>
  <c r="C47" i="8"/>
  <c r="C46" i="8"/>
  <c r="C45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6" i="8"/>
  <c r="C25" i="8"/>
  <c r="C24" i="8"/>
  <c r="C23" i="8"/>
  <c r="C22" i="8"/>
  <c r="C21" i="8"/>
  <c r="C19" i="8"/>
  <c r="C18" i="8"/>
  <c r="C15" i="8"/>
  <c r="C14" i="8"/>
  <c r="C13" i="8"/>
  <c r="C12" i="8"/>
  <c r="C11" i="8"/>
  <c r="C10" i="8"/>
  <c r="C9" i="8"/>
  <c r="M157" i="6"/>
  <c r="N157" i="6"/>
  <c r="M158" i="6"/>
  <c r="N158" i="6"/>
  <c r="M159" i="6"/>
  <c r="N159" i="6"/>
  <c r="M160" i="6"/>
  <c r="N160" i="6"/>
  <c r="M127" i="6"/>
  <c r="N127" i="6"/>
  <c r="M128" i="6"/>
  <c r="N128" i="6"/>
  <c r="M129" i="6"/>
  <c r="N129" i="6"/>
  <c r="M130" i="6"/>
  <c r="N130" i="6"/>
  <c r="M131" i="6"/>
  <c r="N131" i="6"/>
  <c r="M132" i="6"/>
  <c r="N132" i="6"/>
  <c r="M133" i="6"/>
  <c r="N133" i="6"/>
  <c r="M134" i="6"/>
  <c r="N134" i="6"/>
  <c r="M135" i="6"/>
  <c r="N135" i="6"/>
  <c r="M136" i="6"/>
  <c r="N136" i="6"/>
  <c r="M137" i="6"/>
  <c r="N137" i="6"/>
  <c r="M138" i="6"/>
  <c r="N138" i="6"/>
  <c r="M139" i="6"/>
  <c r="N139" i="6"/>
  <c r="M140" i="6"/>
  <c r="N140" i="6"/>
  <c r="M141" i="6"/>
  <c r="N141" i="6"/>
  <c r="M142" i="6"/>
  <c r="N142" i="6"/>
  <c r="M143" i="6"/>
  <c r="N143" i="6"/>
  <c r="M144" i="6"/>
  <c r="N144" i="6"/>
  <c r="M145" i="6"/>
  <c r="N145" i="6"/>
  <c r="M146" i="6"/>
  <c r="N146" i="6"/>
  <c r="M147" i="6"/>
  <c r="N147" i="6"/>
  <c r="M148" i="6"/>
  <c r="N148" i="6"/>
  <c r="M149" i="6"/>
  <c r="N149" i="6"/>
  <c r="M150" i="6"/>
  <c r="N150" i="6"/>
  <c r="M151" i="6"/>
  <c r="N151" i="6"/>
  <c r="M152" i="6"/>
  <c r="N152" i="6"/>
  <c r="M153" i="6"/>
  <c r="N153" i="6"/>
  <c r="M154" i="6"/>
  <c r="N154" i="6"/>
  <c r="M155" i="6"/>
  <c r="N155" i="6"/>
  <c r="M156" i="6"/>
  <c r="N156" i="6"/>
  <c r="M119" i="6"/>
  <c r="N119" i="6"/>
  <c r="M120" i="6"/>
  <c r="N120" i="6"/>
  <c r="M121" i="6"/>
  <c r="N121" i="6"/>
  <c r="M122" i="6"/>
  <c r="N122" i="6"/>
  <c r="M123" i="6"/>
  <c r="N123" i="6"/>
  <c r="M124" i="6"/>
  <c r="N124" i="6"/>
  <c r="M125" i="6"/>
  <c r="N125" i="6"/>
  <c r="M126" i="6"/>
  <c r="N126" i="6"/>
  <c r="M116" i="6"/>
  <c r="N116" i="6"/>
  <c r="M117" i="6"/>
  <c r="N117" i="6"/>
  <c r="M118" i="6"/>
  <c r="N118" i="6"/>
  <c r="M106" i="6"/>
  <c r="N106" i="6"/>
  <c r="M107" i="6"/>
  <c r="N107" i="6"/>
  <c r="M108" i="6"/>
  <c r="N108" i="6"/>
  <c r="M109" i="6"/>
  <c r="N109" i="6"/>
  <c r="M110" i="6"/>
  <c r="N110" i="6"/>
  <c r="M111" i="6"/>
  <c r="N111" i="6"/>
  <c r="M112" i="6"/>
  <c r="N112" i="6"/>
  <c r="M113" i="6"/>
  <c r="N113" i="6"/>
  <c r="M114" i="6"/>
  <c r="N114" i="6"/>
  <c r="M115" i="6"/>
  <c r="N115" i="6"/>
  <c r="M105" i="6"/>
  <c r="N105" i="6"/>
  <c r="N100" i="6"/>
  <c r="N101" i="6"/>
  <c r="N102" i="6"/>
  <c r="N103" i="6"/>
  <c r="N104" i="6"/>
  <c r="M100" i="6"/>
  <c r="M101" i="6"/>
  <c r="M102" i="6"/>
  <c r="M103" i="6"/>
  <c r="M104" i="6"/>
  <c r="M11" i="6"/>
  <c r="M91" i="6" l="1"/>
  <c r="N91" i="6"/>
  <c r="M92" i="6"/>
  <c r="N92" i="6"/>
  <c r="M93" i="6"/>
  <c r="N93" i="6"/>
  <c r="M94" i="6"/>
  <c r="N94" i="6"/>
  <c r="M95" i="6"/>
  <c r="N95" i="6"/>
  <c r="M96" i="6"/>
  <c r="N96" i="6"/>
  <c r="M97" i="6"/>
  <c r="N97" i="6"/>
  <c r="M98" i="6"/>
  <c r="N98" i="6"/>
  <c r="M99" i="6"/>
  <c r="N99" i="6"/>
  <c r="D274" i="8" l="1"/>
  <c r="D273" i="8"/>
  <c r="D272" i="8"/>
  <c r="D271" i="8"/>
  <c r="D269" i="8"/>
  <c r="D268" i="8"/>
  <c r="D267" i="8"/>
  <c r="D266" i="8"/>
  <c r="D265" i="8"/>
  <c r="D264" i="8"/>
  <c r="C264" i="8"/>
  <c r="D263" i="8"/>
  <c r="D262" i="8"/>
  <c r="D261" i="8"/>
  <c r="D260" i="8"/>
  <c r="D259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1" i="8"/>
  <c r="C221" i="8"/>
  <c r="D220" i="8"/>
  <c r="C220" i="8"/>
  <c r="D218" i="8"/>
  <c r="C218" i="8"/>
  <c r="D216" i="8"/>
  <c r="C216" i="8"/>
  <c r="D215" i="8"/>
  <c r="C215" i="8"/>
  <c r="D212" i="8"/>
  <c r="C212" i="8"/>
  <c r="D211" i="8"/>
  <c r="C211" i="8"/>
  <c r="D209" i="8"/>
  <c r="C209" i="8"/>
  <c r="D208" i="8"/>
  <c r="C208" i="8"/>
  <c r="D207" i="8"/>
  <c r="C207" i="8"/>
  <c r="D206" i="8"/>
  <c r="C206" i="8"/>
  <c r="D204" i="8"/>
  <c r="C204" i="8"/>
  <c r="D203" i="8"/>
  <c r="C203" i="8"/>
  <c r="D202" i="8"/>
  <c r="C202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2" i="8"/>
  <c r="C192" i="8"/>
  <c r="D191" i="8"/>
  <c r="C191" i="8"/>
  <c r="D190" i="8"/>
  <c r="C190" i="8"/>
  <c r="D189" i="8"/>
  <c r="C189" i="8"/>
  <c r="D187" i="8"/>
  <c r="C187" i="8"/>
  <c r="D186" i="8"/>
  <c r="C186" i="8"/>
  <c r="D183" i="8"/>
  <c r="C183" i="8"/>
  <c r="D182" i="8"/>
  <c r="C182" i="8"/>
  <c r="D180" i="8"/>
  <c r="C180" i="8"/>
  <c r="D179" i="8"/>
  <c r="C179" i="8"/>
  <c r="D178" i="8"/>
  <c r="C178" i="8"/>
  <c r="D176" i="8"/>
  <c r="C176" i="8"/>
  <c r="D175" i="8"/>
  <c r="C175" i="8"/>
  <c r="D174" i="8"/>
  <c r="C174" i="8"/>
  <c r="D172" i="8"/>
  <c r="C172" i="8"/>
  <c r="D171" i="8"/>
  <c r="C171" i="8"/>
  <c r="D170" i="8"/>
  <c r="C170" i="8"/>
  <c r="D169" i="8"/>
  <c r="C169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3" i="8"/>
  <c r="C133" i="8"/>
  <c r="D132" i="8"/>
  <c r="C132" i="8"/>
  <c r="D131" i="8"/>
  <c r="C131" i="8"/>
  <c r="D130" i="8"/>
  <c r="C130" i="8"/>
  <c r="D129" i="8"/>
  <c r="D128" i="8"/>
  <c r="D127" i="8"/>
  <c r="D126" i="8"/>
  <c r="D125" i="8"/>
  <c r="C125" i="8"/>
  <c r="D124" i="8"/>
  <c r="C124" i="8"/>
  <c r="D123" i="8"/>
  <c r="C123" i="8"/>
  <c r="D122" i="8"/>
  <c r="C122" i="8"/>
  <c r="D121" i="8"/>
  <c r="C121" i="8"/>
  <c r="D120" i="8"/>
  <c r="D119" i="8"/>
  <c r="C119" i="8"/>
  <c r="D118" i="8"/>
  <c r="D117" i="8"/>
  <c r="D116" i="8"/>
  <c r="D115" i="8"/>
  <c r="D114" i="8"/>
  <c r="D113" i="8"/>
  <c r="D112" i="8"/>
  <c r="D110" i="8"/>
  <c r="C110" i="8"/>
  <c r="D109" i="8"/>
  <c r="D108" i="8"/>
  <c r="D107" i="8"/>
  <c r="D106" i="8"/>
  <c r="D105" i="8"/>
  <c r="D103" i="8"/>
  <c r="C103" i="8"/>
  <c r="D102" i="8"/>
  <c r="C102" i="8"/>
  <c r="D100" i="8"/>
  <c r="D99" i="8"/>
  <c r="D98" i="8"/>
  <c r="D97" i="8"/>
  <c r="D96" i="8"/>
  <c r="D95" i="8"/>
  <c r="D94" i="8"/>
  <c r="D93" i="8"/>
  <c r="D92" i="8"/>
  <c r="D89" i="8"/>
  <c r="D88" i="8"/>
  <c r="D87" i="8"/>
  <c r="D86" i="8"/>
  <c r="D85" i="8"/>
  <c r="D84" i="8"/>
  <c r="D82" i="8"/>
  <c r="D81" i="8"/>
  <c r="D80" i="8"/>
  <c r="D79" i="8"/>
  <c r="D78" i="8"/>
  <c r="D77" i="8"/>
  <c r="D75" i="8"/>
  <c r="D74" i="8"/>
  <c r="D71" i="8"/>
  <c r="D70" i="8"/>
  <c r="D69" i="8"/>
  <c r="D68" i="8"/>
  <c r="D67" i="8"/>
  <c r="D66" i="8"/>
  <c r="D65" i="8"/>
  <c r="D64" i="8"/>
  <c r="D63" i="8"/>
  <c r="D62" i="8"/>
  <c r="D61" i="8"/>
  <c r="D60" i="8"/>
  <c r="D58" i="8"/>
  <c r="D57" i="8"/>
  <c r="D56" i="8"/>
  <c r="D55" i="8"/>
  <c r="D54" i="8"/>
  <c r="D53" i="8"/>
  <c r="D52" i="8"/>
  <c r="D51" i="8"/>
  <c r="D50" i="8"/>
  <c r="D49" i="8"/>
  <c r="D47" i="8"/>
  <c r="D46" i="8"/>
  <c r="D45" i="8"/>
  <c r="D44" i="8"/>
  <c r="C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11" i="8"/>
  <c r="D10" i="8"/>
  <c r="D9" i="8"/>
  <c r="M71" i="6" l="1"/>
  <c r="N71" i="6"/>
  <c r="M72" i="6"/>
  <c r="N72" i="6"/>
  <c r="M73" i="6"/>
  <c r="N73" i="6"/>
  <c r="M74" i="6"/>
  <c r="N74" i="6"/>
  <c r="M75" i="6"/>
  <c r="N75" i="6"/>
  <c r="M76" i="6"/>
  <c r="N76" i="6"/>
  <c r="M77" i="6"/>
  <c r="N77" i="6"/>
  <c r="M78" i="6"/>
  <c r="N78" i="6"/>
  <c r="M79" i="6"/>
  <c r="N79" i="6"/>
  <c r="M80" i="6"/>
  <c r="N80" i="6"/>
  <c r="M81" i="6"/>
  <c r="N81" i="6"/>
  <c r="M82" i="6"/>
  <c r="N82" i="6"/>
  <c r="M83" i="6"/>
  <c r="N83" i="6"/>
  <c r="M84" i="6"/>
  <c r="N84" i="6"/>
  <c r="M85" i="6"/>
  <c r="N85" i="6"/>
  <c r="M86" i="6"/>
  <c r="N86" i="6"/>
  <c r="M87" i="6"/>
  <c r="N87" i="6"/>
  <c r="M88" i="6"/>
  <c r="N88" i="6"/>
  <c r="M89" i="6"/>
  <c r="N89" i="6"/>
  <c r="M90" i="6"/>
  <c r="N90" i="6"/>
  <c r="M70" i="6" l="1"/>
  <c r="N70" i="6"/>
  <c r="M69" i="6" l="1"/>
  <c r="N69" i="6"/>
  <c r="M68" i="6" l="1"/>
  <c r="N68" i="6"/>
  <c r="M66" i="6" l="1"/>
  <c r="N66" i="6"/>
  <c r="M67" i="6"/>
  <c r="N67" i="6"/>
  <c r="M65" i="6" l="1"/>
  <c r="N65" i="6"/>
  <c r="N64" i="6" l="1"/>
  <c r="M64" i="6"/>
  <c r="N63" i="6"/>
  <c r="M63" i="6"/>
  <c r="N62" i="6"/>
  <c r="M62" i="6"/>
  <c r="N61" i="6"/>
  <c r="M61" i="6"/>
  <c r="N60" i="6"/>
  <c r="M60" i="6"/>
  <c r="N59" i="6"/>
  <c r="M59" i="6"/>
  <c r="N58" i="6"/>
  <c r="M58" i="6"/>
  <c r="N57" i="6"/>
  <c r="M57" i="6"/>
  <c r="N56" i="6"/>
  <c r="M56" i="6"/>
  <c r="N55" i="6"/>
  <c r="M55" i="6"/>
  <c r="N54" i="6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</calcChain>
</file>

<file path=xl/sharedStrings.xml><?xml version="1.0" encoding="utf-8"?>
<sst xmlns="http://schemas.openxmlformats.org/spreadsheetml/2006/main" count="2155" uniqueCount="680">
  <si>
    <t>Technology</t>
  </si>
  <si>
    <t>Programming Method</t>
  </si>
  <si>
    <t>Video Type</t>
  </si>
  <si>
    <t>Control Type</t>
  </si>
  <si>
    <t>Description and Link</t>
  </si>
  <si>
    <t>Milling</t>
  </si>
  <si>
    <t>808D</t>
  </si>
  <si>
    <t>808D Milling Basics - Operation and Programming</t>
  </si>
  <si>
    <t>808D Milling / working with CAM</t>
  </si>
  <si>
    <t>YouTube Link</t>
  </si>
  <si>
    <t>New User</t>
  </si>
  <si>
    <t>Intermediate</t>
  </si>
  <si>
    <t>Advanced</t>
  </si>
  <si>
    <t>840D 828D</t>
  </si>
  <si>
    <t>Working With CAD_CAM &amp; HighSpeed Cycle832</t>
  </si>
  <si>
    <t>G-code</t>
  </si>
  <si>
    <t>Shopfloor / G-code</t>
  </si>
  <si>
    <t>Turning</t>
  </si>
  <si>
    <t>Shopfloor</t>
  </si>
  <si>
    <t>Control Preventative Maintenance</t>
  </si>
  <si>
    <t>Service</t>
  </si>
  <si>
    <t>Commonality of Programming</t>
  </si>
  <si>
    <t>Shopfloor / G-code / ISO</t>
  </si>
  <si>
    <t xml:space="preserve">Shop Floor 5 axis Programming with Cycle800 </t>
  </si>
  <si>
    <t xml:space="preserve">Setup &amp; Programming a 4th axis Machine in ShopMill </t>
  </si>
  <si>
    <t xml:space="preserve">Working with Standard Cycles in ShopMill </t>
  </si>
  <si>
    <t xml:space="preserve">ID Part Programming with ShopTurn </t>
  </si>
  <si>
    <t xml:space="preserve">Setup &amp; Program Turn-Mill B Axis Lathes in ShopTurn </t>
  </si>
  <si>
    <t xml:space="preserve">Setup &amp; Programming Sub-Spindle Lathes in ShopTurn </t>
  </si>
  <si>
    <t>Programming a Lathe with C axis and Y axis in ShopTurn</t>
  </si>
  <si>
    <t xml:space="preserve">Mastercam Certified Siemens Post for 3x Milling </t>
  </si>
  <si>
    <t>Intermediate / Advanced</t>
  </si>
  <si>
    <t>Enabling digital manufacturing with Identify3D</t>
  </si>
  <si>
    <t>808D Turning – Basic Setup and Programming</t>
  </si>
  <si>
    <t>840D</t>
  </si>
  <si>
    <t xml:space="preserve">DXF Programming in Version 4.7 </t>
  </si>
  <si>
    <t xml:space="preserve">Multi-Channel Machining with ShopTurn </t>
  </si>
  <si>
    <t xml:space="preserve">Automatic calculations when missing information - for ShopMill </t>
  </si>
  <si>
    <t xml:space="preserve">Part Probing In Auto Mode with ShopMill </t>
  </si>
  <si>
    <t>Digitalization – you are closer than you may think</t>
  </si>
  <si>
    <t xml:space="preserve">Mastercam Certified Siemens Post for 4x Milling </t>
  </si>
  <si>
    <t>Siemens Support Structure – Where to go to get the help you need</t>
  </si>
  <si>
    <t>Selection</t>
  </si>
  <si>
    <t>Skill Level</t>
  </si>
  <si>
    <t>ISO</t>
  </si>
  <si>
    <t>CAM</t>
  </si>
  <si>
    <t>828D</t>
  </si>
  <si>
    <t>Helper 1</t>
  </si>
  <si>
    <t>Helper 2</t>
  </si>
  <si>
    <t>New User / Intermediate</t>
  </si>
  <si>
    <t>New User / Intermediate / Advanced</t>
  </si>
  <si>
    <t>G-code / ISO / CAM</t>
  </si>
  <si>
    <t>G-code  / CAM</t>
  </si>
  <si>
    <t>G-code / CAM</t>
  </si>
  <si>
    <t>Shopfloor / G-code / ISO / CAM</t>
  </si>
  <si>
    <t>SINUMERIK live – Use of DXF for CNC programming</t>
  </si>
  <si>
    <t xml:space="preserve">SINUMERIK live - Tool management - milling </t>
  </si>
  <si>
    <t>SINUMERIK live - Turning technologies</t>
  </si>
  <si>
    <t>SINUMERIK live - Multi-face machining milling (3+2 axes)</t>
  </si>
  <si>
    <t xml:space="preserve">SINUMERIK live Dynamic 5-axis machining directly in SINUMERIK Operate </t>
  </si>
  <si>
    <t xml:space="preserve">SINUMERIK live Turn-milling with C and Y axes </t>
  </si>
  <si>
    <t xml:space="preserve">SINUMERIK live Turn-milling with counterspindle and multichannel </t>
  </si>
  <si>
    <t>Milling / Turning</t>
  </si>
  <si>
    <t>SINUMERIK 808D Turning Tutorials - 21 video series</t>
  </si>
  <si>
    <t>SINUMERIK Software Identification</t>
  </si>
  <si>
    <t>SINUMERIK Alarm Systems</t>
  </si>
  <si>
    <t>Saving a Screen Shot</t>
  </si>
  <si>
    <t>DocOnCD for SINUMERIK CNC</t>
  </si>
  <si>
    <t>Creating an Archive</t>
  </si>
  <si>
    <t>Connecting to X127</t>
  </si>
  <si>
    <t>Password: Siemens1</t>
  </si>
  <si>
    <t>How to Video</t>
  </si>
  <si>
    <t>Webinar 1:02</t>
  </si>
  <si>
    <t>Webinar 1:25</t>
  </si>
  <si>
    <t>Webinar 1:28</t>
  </si>
  <si>
    <t>Webinar 1:35</t>
  </si>
  <si>
    <t>Webinar 1:24</t>
  </si>
  <si>
    <t>Webinar 1:18</t>
  </si>
  <si>
    <t>Webinar 1:09</t>
  </si>
  <si>
    <t>Webinar 1:46</t>
  </si>
  <si>
    <t>Webinar 1:38</t>
  </si>
  <si>
    <t>Webinar 1:32</t>
  </si>
  <si>
    <t>Webinar 1:27</t>
  </si>
  <si>
    <t>Webinar 1:23</t>
  </si>
  <si>
    <t>Webinar 1:34</t>
  </si>
  <si>
    <t>Webinar 1:19</t>
  </si>
  <si>
    <t>Webinar 1:29</t>
  </si>
  <si>
    <t>Webinar 1:37</t>
  </si>
  <si>
    <t>Webinar 1:22</t>
  </si>
  <si>
    <t>Webinar 0:48</t>
  </si>
  <si>
    <t>Webinar 1:05</t>
  </si>
  <si>
    <t>Webinar 1:33</t>
  </si>
  <si>
    <t>Webinar 1:43</t>
  </si>
  <si>
    <t>Webinar 1:03</t>
  </si>
  <si>
    <t>Webinar 1:17</t>
  </si>
  <si>
    <t>Video 0:04</t>
  </si>
  <si>
    <t>How to Video 0:02</t>
  </si>
  <si>
    <t>Video 0:12</t>
  </si>
  <si>
    <t>Video 0:17</t>
  </si>
  <si>
    <t>Video 0:08</t>
  </si>
  <si>
    <t>Video 0:15</t>
  </si>
  <si>
    <t>Video 0:13</t>
  </si>
  <si>
    <t>How to Video 0:04</t>
  </si>
  <si>
    <t>How to Video 0:05</t>
  </si>
  <si>
    <t>How to Video 0:06</t>
  </si>
  <si>
    <t>How to Video 0:03</t>
  </si>
  <si>
    <t>&amp; Time h:mm</t>
  </si>
  <si>
    <t>#</t>
  </si>
  <si>
    <t>Tutorial</t>
  </si>
  <si>
    <t>Tap Retract Function in the SINUMERIK CNC</t>
  </si>
  <si>
    <t>Advanced Variable Programming</t>
  </si>
  <si>
    <t>Shopfloor / G-code / CAM</t>
  </si>
  <si>
    <t>Punch Tapping</t>
  </si>
  <si>
    <t>Auto-servo tuning</t>
  </si>
  <si>
    <t>CNC commissioning tutorial</t>
  </si>
  <si>
    <t>Introduction to SIZER</t>
  </si>
  <si>
    <t>Networking and logical drives</t>
  </si>
  <si>
    <t>Non-Siemens synchronous rotary motors</t>
  </si>
  <si>
    <t>Synchronous motor pole angle</t>
  </si>
  <si>
    <t>Tool management</t>
  </si>
  <si>
    <t>How to Video 0:08</t>
  </si>
  <si>
    <t>How to Video 0:09</t>
  </si>
  <si>
    <t>How to Video 0:10</t>
  </si>
  <si>
    <t>How to Video 1:50</t>
  </si>
  <si>
    <t>How to Video 0:32</t>
  </si>
  <si>
    <t>How to Video 0:12</t>
  </si>
  <si>
    <t>Commissioning</t>
  </si>
  <si>
    <t>Service / Commissioning</t>
  </si>
  <si>
    <t>System</t>
  </si>
  <si>
    <t xml:space="preserve">Document class </t>
  </si>
  <si>
    <t>Title</t>
  </si>
  <si>
    <t>Edition</t>
  </si>
  <si>
    <t>Order number</t>
  </si>
  <si>
    <t>Languages</t>
  </si>
  <si>
    <t>Operation</t>
  </si>
  <si>
    <t>Operating Manual</t>
  </si>
  <si>
    <t>X</t>
  </si>
  <si>
    <t>System Manual</t>
  </si>
  <si>
    <t>6FC5398-2AP10-3xA0</t>
  </si>
  <si>
    <t>Programming and Operating Manual</t>
  </si>
  <si>
    <t>6FC5398-4AP10-2xA0</t>
  </si>
  <si>
    <t>6FC5398-5AP10-2xA0</t>
  </si>
  <si>
    <t>Diagnostics Manual</t>
  </si>
  <si>
    <t>Compact User Manual</t>
  </si>
  <si>
    <t>Programming</t>
  </si>
  <si>
    <t>Programming Manual</t>
  </si>
  <si>
    <t>6FC5398-5BP40-3xA0</t>
  </si>
  <si>
    <t>6FC5398-7BP40-3xA0</t>
  </si>
  <si>
    <t>SINUMERIK 840D sl Manufacturer / Service</t>
  </si>
  <si>
    <t>Configuring</t>
  </si>
  <si>
    <t>Equipment Manual</t>
  </si>
  <si>
    <t>6FC5397-1AP40-5xA3</t>
  </si>
  <si>
    <t>6FC5397-1EP40-5xA1</t>
  </si>
  <si>
    <t>6FC5397-0AP20-0xA0</t>
  </si>
  <si>
    <t>6FC5297-0BA01-0xP5</t>
  </si>
  <si>
    <t>Configuration Manual</t>
  </si>
  <si>
    <t>6FC5297-0AD30-0xP3</t>
  </si>
  <si>
    <t>6FC5397-0EP40-5xA3</t>
  </si>
  <si>
    <t>6FC5397-6CP10-0xA2</t>
  </si>
  <si>
    <t>6FC5397-4FP40-0xA1</t>
  </si>
  <si>
    <t>Commissioning Manual</t>
  </si>
  <si>
    <t>6FC5397-2AP40-6xA1</t>
  </si>
  <si>
    <t>6FC5397-0DP10-3xA0</t>
  </si>
  <si>
    <t>6FC5397-4AP10-2xA0</t>
  </si>
  <si>
    <t>6FC5397-5AP10-2xA0</t>
  </si>
  <si>
    <t>List Manual</t>
  </si>
  <si>
    <t>Functions</t>
  </si>
  <si>
    <t>Function Manual</t>
  </si>
  <si>
    <t>6FC5397-4BP40-5xA3</t>
  </si>
  <si>
    <t>6FC5397-7BP40-3xA0</t>
  </si>
  <si>
    <t>Reference Manual</t>
  </si>
  <si>
    <t>Product Information</t>
  </si>
  <si>
    <t>YouTube Live Link</t>
  </si>
  <si>
    <t>How to Video 0:34</t>
  </si>
  <si>
    <t>Adjustable Angle Heads with Swivel Cycle - Part 1 Overview</t>
  </si>
  <si>
    <t>Adjustable Angle Heads with Swivel Cycle - Part 2 Commissioning</t>
  </si>
  <si>
    <t>Adjustable Angle Heads with Swivel Cycle - Part 3 Setup &amp; Operation</t>
  </si>
  <si>
    <t>How to Video 0:44</t>
  </si>
  <si>
    <t>Real Time Machining Optimazation with ACM</t>
  </si>
  <si>
    <t>Webinar 1:21</t>
  </si>
  <si>
    <t xml:space="preserve">SINUMERIK live Effective multiple clamping </t>
  </si>
  <si>
    <t>Video 0:16</t>
  </si>
  <si>
    <t xml:space="preserve">SINUMERIK live Fundamentals of thread types and threading </t>
  </si>
  <si>
    <t>Video 0:20</t>
  </si>
  <si>
    <t xml:space="preserve">SINUMERIK live thread milling </t>
  </si>
  <si>
    <t>Video 0:21</t>
  </si>
  <si>
    <t>How to Video 0:38</t>
  </si>
  <si>
    <t>SINUMERIK 840D sl / 828D User</t>
  </si>
  <si>
    <t>6FC5398-6AP41-0xA0</t>
  </si>
  <si>
    <t xml:space="preserve">6FC5398-8CP41-0AA0 </t>
  </si>
  <si>
    <t>6FC5398-7CP41-0xA0</t>
  </si>
  <si>
    <t>6FC5398-0EP41-0xA0</t>
  </si>
  <si>
    <t>6FC5397-7FP40-0xA1</t>
  </si>
  <si>
    <t>6FC5397-7FP41-0xA1</t>
  </si>
  <si>
    <t>6FC5398-6BP40-6xA2</t>
  </si>
  <si>
    <t>6FC5398-8BP40-6xA1</t>
  </si>
  <si>
    <t>6FC5398-1BP40-6xA2</t>
  </si>
  <si>
    <t>6FC5398-2BP40-6xA2</t>
  </si>
  <si>
    <t>6FC5398-4BP40-6xA2</t>
  </si>
  <si>
    <t>A5E40874197</t>
  </si>
  <si>
    <t>A5E41682705A AA</t>
  </si>
  <si>
    <t>A5E43199783A AB</t>
  </si>
  <si>
    <t>6FC5397-8FP40-0xA1</t>
  </si>
  <si>
    <t>Getting Started</t>
  </si>
  <si>
    <t>6FC5397-1GP40-0xA0</t>
  </si>
  <si>
    <t>6FC5397-0GP40-0xA0</t>
  </si>
  <si>
    <t>6FC5397-1DP40-6xA2</t>
  </si>
  <si>
    <t>6FC5397-7AP40-6xA2</t>
  </si>
  <si>
    <t>6FC5397-3CP40-6xA2</t>
  </si>
  <si>
    <t>6FC5397-6AP40-6xA2</t>
  </si>
  <si>
    <t>6FC5397-0BP40-6xA2</t>
  </si>
  <si>
    <t>6FC5397-1BP40-6xA2</t>
  </si>
  <si>
    <t>6FC5397-2BP40-6xA2</t>
  </si>
  <si>
    <t>6FC5397-5BP40-6xA2</t>
  </si>
  <si>
    <t>6FC5397-6BP40-6xA2</t>
  </si>
  <si>
    <t>6FC5397-1FP40-6xA1</t>
  </si>
  <si>
    <t xml:space="preserve">6FC5397-4BP40-6AA1 </t>
  </si>
  <si>
    <t>SINUMERIK 840D sl Safety Integrated / Safety Integrated plus, Safe machines with a high productivity</t>
  </si>
  <si>
    <t>SINUMERIK 828D Manufacturer / Service</t>
  </si>
  <si>
    <t>6FC5397-2DP40-6xA2</t>
  </si>
  <si>
    <t>Commissioning / Service</t>
  </si>
  <si>
    <t>6FC5397-4DP40-6xA1</t>
  </si>
  <si>
    <t>6FC5397-4DP41-6xA1</t>
  </si>
  <si>
    <t>6FC5397-8DP40-6xA1</t>
  </si>
  <si>
    <t>6FC5397-5FP40-0xA1</t>
  </si>
  <si>
    <t>6FC5397-3DP40-6xA1</t>
  </si>
  <si>
    <t>Service Manual</t>
  </si>
  <si>
    <t>6FC5397-5DP40-6xA1</t>
  </si>
  <si>
    <t>6FC5397-3EP40-6xA1</t>
  </si>
  <si>
    <t>SINUMERIK 808D ADVANCED</t>
  </si>
  <si>
    <t>V4.90</t>
  </si>
  <si>
    <t>6FC5398-5DP10-0xA7</t>
  </si>
  <si>
    <t>6FC5398-4DP10-0xA7</t>
  </si>
  <si>
    <t>6FC5398-0DP40-0xA4</t>
  </si>
  <si>
    <t>6FC5398-3DP10-0xA5</t>
  </si>
  <si>
    <t>6FC5397-7EP40-0xA4</t>
  </si>
  <si>
    <t>Compact Operating Instructions</t>
  </si>
  <si>
    <t>6FC5397-4EP10-0xA8</t>
  </si>
  <si>
    <t>A5E42727175</t>
  </si>
  <si>
    <t>6FC5397-8EP40-0xA4</t>
  </si>
  <si>
    <t>6FC5398-6DP10-0xA6</t>
  </si>
  <si>
    <t>SINAMICS V70 / SIMOTICS S 1FL5</t>
  </si>
  <si>
    <t>SINUMERIK Safety Integrated</t>
  </si>
  <si>
    <t xml:space="preserve">6SL3097-5AR00-0AP0 </t>
  </si>
  <si>
    <t>SINUMERIK Integrate / MindApp</t>
  </si>
  <si>
    <t>6FC5397-1DP41-0xA2</t>
  </si>
  <si>
    <t>Installation Manual</t>
  </si>
  <si>
    <t>Application examples</t>
  </si>
  <si>
    <t>SINAMICS S120 Built-In Units</t>
  </si>
  <si>
    <t>6SL3097-5AC20-0xP0</t>
  </si>
  <si>
    <t>6SL3097-5AH00-0xP0</t>
  </si>
  <si>
    <t>6SL3097-5AC00-0xP0</t>
  </si>
  <si>
    <t>6SL3097-5AL00-0xP0</t>
  </si>
  <si>
    <t>6SL3097-5AV00-0xP0</t>
  </si>
  <si>
    <t>6SL3097-4AE00-0xP5</t>
  </si>
  <si>
    <t>6SL3097-5AW00-0xP0</t>
  </si>
  <si>
    <t>6SL3097-4BA00-0xP2</t>
  </si>
  <si>
    <t>6SL3097-4AH10-0xP3</t>
  </si>
  <si>
    <t>6SL3097-0AT00-0xP0</t>
  </si>
  <si>
    <t>6SL3097-4AF00-0xP6</t>
  </si>
  <si>
    <t>6SL3097-5AP00-0xP0</t>
  </si>
  <si>
    <t>6SL3097-4AG00-0xP5</t>
  </si>
  <si>
    <t>6SL3097-5AB00-0xP0</t>
  </si>
  <si>
    <t>A5E42915255A AA</t>
  </si>
  <si>
    <t>Measuring Systems</t>
  </si>
  <si>
    <t>6SN1197-0AB10-0xP4</t>
  </si>
  <si>
    <t>6SN1197-0AB10-0xP5</t>
  </si>
  <si>
    <t>6SN1197-0AB31-0xP8</t>
  </si>
  <si>
    <t>Compact Hardware Installation Instructions</t>
  </si>
  <si>
    <t>Brochure</t>
  </si>
  <si>
    <t>SIMOTICS S Servomotors</t>
  </si>
  <si>
    <t>1FK7 Synchonous Motors</t>
  </si>
  <si>
    <t>6SN1197-0AD16-0xP5</t>
  </si>
  <si>
    <t>Operating Instructions</t>
  </si>
  <si>
    <t>610.40700.01d</t>
  </si>
  <si>
    <t>1FT6 Synchonous Motors</t>
  </si>
  <si>
    <t>1FT7 Synchonous Motors</t>
  </si>
  <si>
    <t>610.40075.01f</t>
  </si>
  <si>
    <t>.</t>
  </si>
  <si>
    <t>1FG1 Servo Geared Motors</t>
  </si>
  <si>
    <t xml:space="preserve">610.40703.02 </t>
  </si>
  <si>
    <t>SIMOTICS M Main Motors</t>
  </si>
  <si>
    <t>610.43093.01e</t>
  </si>
  <si>
    <t>6SN1197-0AD64-0xP1</t>
  </si>
  <si>
    <t>610.43429.21c</t>
  </si>
  <si>
    <t>1PH8 Main Motors</t>
  </si>
  <si>
    <t>610.48012.01</t>
  </si>
  <si>
    <t>A5E35768675A AB</t>
  </si>
  <si>
    <t>610.48004.01f</t>
  </si>
  <si>
    <t>610.48006.01c</t>
  </si>
  <si>
    <t>6SN1197-0AD74-0xP2</t>
  </si>
  <si>
    <t>1PM4/1PM6 Spindle Drives</t>
  </si>
  <si>
    <t>6SN1197-0AD23-0xP0</t>
  </si>
  <si>
    <t>1FE1/1FE2 built-in motors</t>
  </si>
  <si>
    <t>Hardware Installation Manual</t>
  </si>
  <si>
    <t>610.43000.01b</t>
  </si>
  <si>
    <t xml:space="preserve">610.43007.01 </t>
  </si>
  <si>
    <t>6SN1197-0AC01-0xP0</t>
  </si>
  <si>
    <t xml:space="preserve">610.43006.01 </t>
  </si>
  <si>
    <t>2SP1 Motor Spindles</t>
  </si>
  <si>
    <t>6SN1197-0AC04-0xP0</t>
  </si>
  <si>
    <t>6SN1197-0AD14-0xP1</t>
  </si>
  <si>
    <t>SIMOTICS L Linear Motors / SIMOTICS T Torque Motors</t>
  </si>
  <si>
    <t>1FN3 Linear Motors</t>
  </si>
  <si>
    <t>6SN1197-0AB86-0xP2</t>
  </si>
  <si>
    <t xml:space="preserve"> 6SN1197-0AF01-0AP1 </t>
  </si>
  <si>
    <t>1FN6 Linear Motors</t>
  </si>
  <si>
    <t>6SN1197-0AB78-0xP4</t>
  </si>
  <si>
    <t>1FW3 Complete Torque Motors</t>
  </si>
  <si>
    <t>610.40300.01f</t>
  </si>
  <si>
    <t>6SN1197-0AD70-0xP8</t>
  </si>
  <si>
    <t>1FW6 Built-in Torque Motors</t>
  </si>
  <si>
    <t>6SN1197-0AE00-0AP9 R1A</t>
  </si>
  <si>
    <t>6SN1197-0AE02-0xP1</t>
  </si>
  <si>
    <t>6SN1197-0AE01-0xP3</t>
  </si>
  <si>
    <t>6SN1197-0AF03-0xP1</t>
  </si>
  <si>
    <t>6SN1197-0AF02-0xP2</t>
  </si>
  <si>
    <t>6SN1197-0AF00-0xP3</t>
  </si>
  <si>
    <t>Readme</t>
  </si>
  <si>
    <t>6SN1197-0AB71-0xP0</t>
  </si>
  <si>
    <t>Industrial Automation Systems SIMATIC</t>
  </si>
  <si>
    <t>6ES7298-8FA24-8xH0</t>
  </si>
  <si>
    <t>6ES7 298-8FA01-8AH0</t>
  </si>
  <si>
    <t>EWA 4NEB 710 6075-01 04</t>
  </si>
  <si>
    <t>6GK1970-1BA10-0xA0</t>
  </si>
  <si>
    <t>6AV6691-1DP02-0xA0</t>
  </si>
  <si>
    <t>6AV6691-1DK01-0xA0</t>
  </si>
  <si>
    <t>Info / Training</t>
  </si>
  <si>
    <t>Offer overview</t>
  </si>
  <si>
    <t>6FC5397-5EP40-6xA0</t>
  </si>
  <si>
    <t>Training Documents</t>
  </si>
  <si>
    <t>6FC5095-0AB10-0xP5</t>
  </si>
  <si>
    <t>6FC5095-0AB30-0xP0</t>
  </si>
  <si>
    <t>6FC5095-0AB40-0xP0</t>
  </si>
  <si>
    <t>6FC5095-0AB50-1xP1</t>
  </si>
  <si>
    <t>6FC5095-0AB80-1xP1</t>
  </si>
  <si>
    <t>Plug-in / Label Templates</t>
  </si>
  <si>
    <t>Handheld units</t>
  </si>
  <si>
    <t>Machine Control Panels (MCP)</t>
  </si>
  <si>
    <t>Machine Push Button Panel (MPP)</t>
  </si>
  <si>
    <t>Operator Panels</t>
  </si>
  <si>
    <t>Webinar 1:52</t>
  </si>
  <si>
    <t>True 5 axis 3 Ball Probing - Introduction - Part 1</t>
  </si>
  <si>
    <t>True 5 axis 3 Ball Probing - Part 2</t>
  </si>
  <si>
    <t>Webinar 1:41</t>
  </si>
  <si>
    <t xml:space="preserve">SINUMERIK Tips and Tricks </t>
  </si>
  <si>
    <t>5 tips to optimize your tool setting</t>
  </si>
  <si>
    <t>Interpolation Turning - when a 3 axis mill mimics a lathe</t>
  </si>
  <si>
    <t>How to Video 0:30</t>
  </si>
  <si>
    <t>Case Study between 3 and 5 Axis technology</t>
  </si>
  <si>
    <t>Webinar 1:10</t>
  </si>
  <si>
    <t>ISO compatibility mode with G291 in Turning</t>
  </si>
  <si>
    <t>Webinar 1:20</t>
  </si>
  <si>
    <t>Webinar 2:02</t>
  </si>
  <si>
    <t>Siemens SINUMERIK Service and Maintenance 101</t>
  </si>
  <si>
    <t>Service/Commissioning</t>
  </si>
  <si>
    <t>The CNC Digital Twin in Action - for job shop manufacturing and beyond</t>
  </si>
  <si>
    <t>Webinar 1:12</t>
  </si>
  <si>
    <t>Webinar 1:40</t>
  </si>
  <si>
    <t>Siemens SINUMERIK Service and Maintenance 102</t>
  </si>
  <si>
    <t>Webinar 1:31</t>
  </si>
  <si>
    <t>Webinar 1:30</t>
  </si>
  <si>
    <t>In Process Probing - Are you getting the most out of your probes?</t>
  </si>
  <si>
    <t>How to Video 0:39</t>
  </si>
  <si>
    <t>Structured CNC Programing - bringing order to Chaos</t>
  </si>
  <si>
    <t>Christmas Special 2021 - TRACYL in Action with DXF Converter</t>
  </si>
  <si>
    <t>Shopfloor / G-code / ISO / CAM / Service / Commissioning</t>
  </si>
  <si>
    <t>Thread Milling with the OSG AT-1 series tools</t>
  </si>
  <si>
    <t>How to Video 0:29</t>
  </si>
  <si>
    <t>How to Video 0:54</t>
  </si>
  <si>
    <t>How to Broach on a VMC - Ever wonder how to make a square hole on your CNC mill?</t>
  </si>
  <si>
    <t>SINUMERIK live process technologies</t>
  </si>
  <si>
    <t>Youtube Link</t>
  </si>
  <si>
    <t>Video 15:26</t>
  </si>
  <si>
    <t>SINUMERIK live Cylinder surface transformation</t>
  </si>
  <si>
    <t>Video 17:29</t>
  </si>
  <si>
    <t>Video 16:52</t>
  </si>
  <si>
    <t>SINUMERIK live Machine-integrated workpiece measurement/3-axis milling</t>
  </si>
  <si>
    <t>Video 20:51</t>
  </si>
  <si>
    <t>VerisonDS 1</t>
  </si>
  <si>
    <t>Skill Level with SINUMERIK</t>
  </si>
  <si>
    <t>usa.siemens.com/cnc4you</t>
  </si>
  <si>
    <t>Visit our CNC4you site for everything related to SINUMERIK including training and webinars:</t>
  </si>
  <si>
    <t>Working with Advanced Cycles in ShopTurn</t>
  </si>
  <si>
    <t>840D 828D SINUMERIKONE</t>
  </si>
  <si>
    <t>SINUMERIKONE</t>
  </si>
  <si>
    <t>840D 828D SINUMERIKONE 808D</t>
  </si>
  <si>
    <t>Measuring Tool Lengths in a milling machine - SINUMERIK CNC</t>
  </si>
  <si>
    <t>SINUMERIK Trace Tool in Operate</t>
  </si>
  <si>
    <t>SINUMERIK Trace Tool for HMI Advanced</t>
  </si>
  <si>
    <t>840D SINUMERIKONE</t>
  </si>
  <si>
    <t>Creating a Post Processor for the SINUMERIK Control</t>
  </si>
  <si>
    <t>808D 840D 828D SINUMERIKONE</t>
  </si>
  <si>
    <t>new SINUMERIK software release version 4.7  &amp; SINUTRAIN w/ Workbench</t>
  </si>
  <si>
    <t xml:space="preserve">SINUTRAIN – Utilizing its Fullest Potential </t>
  </si>
  <si>
    <t>Building Your Machine Space Model for SINUTRAIN</t>
  </si>
  <si>
    <t>ShopMill Setup &amp; Programing 1</t>
  </si>
  <si>
    <t>ShopTurn Setup &amp; Programing 1</t>
  </si>
  <si>
    <t>5axis (3+2) G-code Programming with programGuide</t>
  </si>
  <si>
    <t>Advanced Milling Cycles with ShopMill and programGuide</t>
  </si>
  <si>
    <t>DXF Programming in ShopMill &amp; programGuide Version 4.5 and older</t>
  </si>
  <si>
    <t xml:space="preserve">G-Code Programming with programGuide </t>
  </si>
  <si>
    <t>G-Code Programming with programGuide</t>
  </si>
  <si>
    <t>Working with Standard Cycles in programGuide</t>
  </si>
  <si>
    <t xml:space="preserve">Variable Programming with ShopMill &amp; programGuide </t>
  </si>
  <si>
    <t xml:space="preserve">Part Probing In Auto Mode with programGuide </t>
  </si>
  <si>
    <t>Setup &amp; Programming a 4th axis Machine in G-code with programGuide</t>
  </si>
  <si>
    <t xml:space="preserve">Programming a Lathe with C axis and Y axis in G-code with programGuide </t>
  </si>
  <si>
    <t>Setup &amp; Programming Sub-Spindle Lathes in programGuide</t>
  </si>
  <si>
    <t>5-axis Simultaneous Machining in programGuide for Milling</t>
  </si>
  <si>
    <t>B axis Turn Mill setup &amp; programming in G code with programGuide</t>
  </si>
  <si>
    <t>Multi-Channel Machining in G code with programGuide</t>
  </si>
  <si>
    <t>Advanced Turning Cycles in G code with programGuide</t>
  </si>
  <si>
    <t>ID Part Programming in G code with programGuide – SINUMERIK Turning</t>
  </si>
  <si>
    <t xml:space="preserve">Shopfloor Programming 101 with ShopMill </t>
  </si>
  <si>
    <t xml:space="preserve">Working W Standard Cycles In ShopMill SINUMERIK 840D sl and 828D </t>
  </si>
  <si>
    <t>Advanced Milling Cycles for the SINUMERIK CNC – ShopMill &amp; programGuide 840D sl &amp; 828D</t>
  </si>
  <si>
    <t>NX to SINUMERIK – The CAD-CAM Process Chain in Action</t>
  </si>
  <si>
    <t>SINUMERIK 808D Milling Tutorials - 24 video series</t>
  </si>
  <si>
    <t>Live Cutting Demo - Multiple Clamping</t>
  </si>
  <si>
    <t>usa.siemens.com/vpe</t>
  </si>
  <si>
    <t>click to send an e-mail</t>
  </si>
  <si>
    <t>GER</t>
  </si>
  <si>
    <t>ENG</t>
  </si>
  <si>
    <t>SINUMERIK CNC webinars</t>
  </si>
  <si>
    <t>http://usa.siemens.com/cnc-webinars</t>
  </si>
  <si>
    <t>http://usa.siemens.com/cnc4you</t>
  </si>
  <si>
    <t xml:space="preserve">CNC4you — global </t>
  </si>
  <si>
    <t>http://siemens.com/cnc4you</t>
  </si>
  <si>
    <t>Siemens Industry Online Support</t>
  </si>
  <si>
    <t>https://support.industry.siemens.com/cs/start?lc=en-US</t>
  </si>
  <si>
    <t>Machine registration</t>
  </si>
  <si>
    <t>CNC machine warranty</t>
  </si>
  <si>
    <t>http://usa.siemens.com/cnc-training</t>
  </si>
  <si>
    <t>http://usa.siemens.com/machine-registration</t>
  </si>
  <si>
    <t>http://usa.siemens.com/cnc-warranty</t>
  </si>
  <si>
    <t>http://usa.siemens.com/vpe</t>
  </si>
  <si>
    <t>http://usa.siemens.com/cnc-leap</t>
  </si>
  <si>
    <t>Additional websites for reference</t>
  </si>
  <si>
    <t>Follow us on LinkedIn, YouTube, Facebook, Twitter</t>
  </si>
  <si>
    <t>SINUMERIK CNC training — 
online and in-person, instructor-led</t>
  </si>
  <si>
    <t>CNC LEAP education program</t>
  </si>
  <si>
    <t>Virtual Product Expert — 
one-on-one virtual session</t>
  </si>
  <si>
    <t>CNC4you (US) — 
US site for everything around the SINUMERIK control</t>
  </si>
  <si>
    <t>https://www.linkedin.com/in/chris-pollack/</t>
  </si>
  <si>
    <t>https://youtube.com/mrcnc</t>
  </si>
  <si>
    <t>http://twitter.com/siemens_cnc_us</t>
  </si>
  <si>
    <t>Chris Pollack</t>
  </si>
  <si>
    <t>Dan Strubel</t>
  </si>
  <si>
    <t>https://www.linkedin.com/in/daniel-strubel-12801a3a/</t>
  </si>
  <si>
    <t>Daniel Vitullo</t>
  </si>
  <si>
    <t>https://www.linkedin.com/in/daniel-vitullo-128253104/</t>
  </si>
  <si>
    <t>Steve Holmes</t>
  </si>
  <si>
    <t>https://www.linkedin.com/in/steve-holmes-bb96a7b3/</t>
  </si>
  <si>
    <t>John Meyer</t>
  </si>
  <si>
    <t>https://www.linkedin.com/in/-johnmeyer/</t>
  </si>
  <si>
    <t>Other Siemens subject matter experts to follow:</t>
  </si>
  <si>
    <t>http://facebook.com/siemens.cnc.us</t>
  </si>
  <si>
    <t>https://www.youtube.com/playlist?list=PLw7lLwXw4H53XP8_KFCnwzfVzlVa7rAkQ</t>
  </si>
  <si>
    <t>Global SINUMERIK CNC YouTube playlist</t>
  </si>
  <si>
    <t>Mr. CNC — Everything SINUMERIK around Operation and Programming</t>
  </si>
  <si>
    <t>Sign-up in less than 60-seconds</t>
  </si>
  <si>
    <t>Join our Contact List to stay up-to-date on the latest SINUMERIK news including webinars and events!</t>
  </si>
  <si>
    <t>For questions about this Content Manager, please contact Dan Strubel, Siemens:</t>
  </si>
  <si>
    <t>1PH4 Asynchronous Motors</t>
  </si>
  <si>
    <t>1PH7 Asynchronous Motors</t>
  </si>
  <si>
    <t>Easy CNC app for iOS and iPadOS</t>
  </si>
  <si>
    <t>Easy CNC app for Android</t>
  </si>
  <si>
    <t>https://apps.apple.com/us/app/easy-cnc/id498326185</t>
  </si>
  <si>
    <t>https://play.google.com/store/apps/details?id=com.siemens.easycnc</t>
  </si>
  <si>
    <t>Downloads of manuals, posters, tools, apps and more!</t>
  </si>
  <si>
    <t>http://usa.siemens.com/cnc-downloads</t>
  </si>
  <si>
    <t>Online Support requests</t>
  </si>
  <si>
    <t>https://support.industry.siemens.com/cs/my?lc=en-US</t>
  </si>
  <si>
    <t>Machine Tool Service and Support</t>
  </si>
  <si>
    <t>http://usa.siemens.com/cnc-service</t>
  </si>
  <si>
    <t>http://usa.siemens.com/cnc-parts-repair</t>
  </si>
  <si>
    <t>Machine Tool — Parts and Repair</t>
  </si>
  <si>
    <t>(800) 879-8079</t>
  </si>
  <si>
    <t>Call us!</t>
  </si>
  <si>
    <t>For questions about operation and programming of the SINUMERIK control, schedule a free session with our Virtual Product Expert:</t>
  </si>
  <si>
    <t>Bookmark these US websites for quick and easy access!</t>
  </si>
  <si>
    <t>Technical documentation for SINUMERIK ONE, version 6.15</t>
  </si>
  <si>
    <t> Operating Manual SINUMERIK ONE Universal  </t>
  </si>
  <si>
    <t> Operating Manual SINUMERIK ONE Turning </t>
  </si>
  <si>
    <t> Operating Manual SINUMERIK ONE Milling  </t>
  </si>
  <si>
    <t> Operating Manual SINUMERIK ONE Grinding  </t>
  </si>
  <si>
    <t> Operating Manual SINUMERIK Access MyMachine /P2P (PC) </t>
  </si>
  <si>
    <t> Diagnostics Manual SINUMERIK ONE SINAMICS S120 Alarms </t>
  </si>
  <si>
    <t>User: Operating</t>
  </si>
  <si>
    <t>User: Programming</t>
  </si>
  <si>
    <t>Programming Manual SINUMERIK ONE Measuring Cycles </t>
  </si>
  <si>
    <t>Programming Manual SINUMERIK ONE NC Programming </t>
  </si>
  <si>
    <t>Manufacturer/Service: Functions</t>
  </si>
  <si>
    <t>Function Manual SINUMERIK ONE Basic Functions </t>
  </si>
  <si>
    <t>Function Manual SINUMERIK ONE Axes and Spindles  </t>
  </si>
  <si>
    <t>Function Manual SINUMERIK ONE PLC  </t>
  </si>
  <si>
    <t>Function Manual SINUMERIK ONE Synchronized Actions  </t>
  </si>
  <si>
    <t>Function Manual SINUMERIK ONE Technologies  </t>
  </si>
  <si>
    <t>Function Manual SINUMERIK ONE Transformations </t>
  </si>
  <si>
    <t>Function Manual SINUMERIK ONE Monitoring and Compensating  </t>
  </si>
  <si>
    <t>Function Manual SINUMERIK ONE Tools </t>
  </si>
  <si>
    <t>Function Manual SINUMERIK ONE Tool Management</t>
  </si>
  <si>
    <t>Manufacturer/Service: Hardware</t>
  </si>
  <si>
    <t>Equipment Manual SINUMERIK ONE NCU 1740 </t>
  </si>
  <si>
    <t>Equipment Manual SINUMERIK ONE NCU 1750 </t>
  </si>
  <si>
    <t>Equipment Manual SINUMERIK ONE NCU 1760 </t>
  </si>
  <si>
    <t>Equipment Manual SINUMERIK ONE PPU 1740 </t>
  </si>
  <si>
    <t>Manufacturer/Service: Configuring/Commissioning</t>
  </si>
  <si>
    <t>Commissioning Manual SINUMERIK ONE Work steps for configuring and commissioning </t>
  </si>
  <si>
    <t> Commissioning Manual SINUMERIK ONE Final commissioning steps </t>
  </si>
  <si>
    <t> Operating Manual SINUMERIK ONE Create MyConfig - Diff, Expert, Topo </t>
  </si>
  <si>
    <t> System Manual SINUMERIK ONE Migration - MyVirtual Machine </t>
  </si>
  <si>
    <t> Configuration Manual SINUMERIK / SIMOTION / SINAMICS Industrial Security </t>
  </si>
  <si>
    <t>Commissioning of real part components</t>
  </si>
  <si>
    <t> Installation Manual SINUMERIK ONE New installation and upgrade </t>
  </si>
  <si>
    <t> Commissioning Manual SINUMERIK ONE PCU Base for IPC </t>
  </si>
  <si>
    <t> Installation Manual SINUMERIK ONE Creating a SINUMERIK Service System </t>
  </si>
  <si>
    <t> Programming Manual SINUMERIK ONE SINUMERIK Integrate Run MyScreens </t>
  </si>
  <si>
    <t> Configuration Manual SINUMERIK Access MyMachine / OPC UA </t>
  </si>
  <si>
    <t>Commissioning of virtual part components</t>
  </si>
  <si>
    <t>Installation Manual SINUMERIK ONE Installing Create MyVirtual Machine </t>
  </si>
  <si>
    <t>Installation Manual SINUMERIK ONE Run MyVirtual Machine </t>
  </si>
  <si>
    <t>Installation Manual SINUMERIK ONE Installing Virtual CNC-SW </t>
  </si>
  <si>
    <t>List Manual SINUMERIK ONE Create MyVirtual Machine simDrive Parameters/Alarms </t>
  </si>
  <si>
    <t>System Manual SINUMERIK ONE Create MyVirtual Machine </t>
  </si>
  <si>
    <t>System Manual SINUMERIK ONE Run MyVirtual Machine </t>
  </si>
  <si>
    <t>Configuration Manual Protect MyMachine /3D Twin and Create MyVirtual Machine /3D 3D machine model </t>
  </si>
  <si>
    <t>Reference documents</t>
  </si>
  <si>
    <t> Reference Manual SINUMERIK Create MyVirtual Machine Open Interface Valid for V1.2 </t>
  </si>
  <si>
    <t> List Manual SINUMERIK ONE, SINAMICS S120 Machine Data and Parameters </t>
  </si>
  <si>
    <t> List Manual SINUMERIK ONE NC Variables </t>
  </si>
  <si>
    <t> List Manual SINUMERIK ONE System Variables </t>
  </si>
  <si>
    <t> Configuration Manual EMC Design Guidelines  </t>
  </si>
  <si>
    <t>Manufacturer/Service: Safety Integrated</t>
  </si>
  <si>
    <t>Functional Manual SINUMERIK Operate acceptance test  </t>
  </si>
  <si>
    <t>Commissioning Manual SINUMERIK ONE Safety Integrated  </t>
  </si>
  <si>
    <t>Function Manual SINAMICS S120 Safety Integrated </t>
  </si>
  <si>
    <t>Information and Training</t>
  </si>
  <si>
    <t>Product Information SINUMERIK CNC - SINUMERIK 840D sl Function Overview </t>
  </si>
  <si>
    <t>Training Document Milling with SINUMERIK, Mold making with 3- to 5-axis simultaneous milling </t>
  </si>
  <si>
    <t>SINUMERIK 828D/840D sl Operating and Programming - Milling </t>
  </si>
  <si>
    <t>Training Document SINUMERIK 828D 840D sl Operating and Programming - Turning </t>
  </si>
  <si>
    <t>Training Document SINUMERIK ONE/840D sl Turning made easy with ShopTurn </t>
  </si>
  <si>
    <t>Training Document SINUMERIK ONE/840D sl Milling made easy with ShopMill </t>
  </si>
  <si>
    <t>Offer overview SINUMERIK ONE with SINUMERIK Operate - Milling </t>
  </si>
  <si>
    <t>Catalog NC 63: SINUMERIK ONE Function overview </t>
  </si>
  <si>
    <t>Glossary SINUMERIK ONE </t>
  </si>
  <si>
    <t>Manufacturer/Service: SINAMICS</t>
  </si>
  <si>
    <t> Equipment Manual SINAMICS S120 Booksize C/D-type Power Units </t>
  </si>
  <si>
    <t> Equipment Manual SINAMICS S120 Control Units and Supplementary System Components </t>
  </si>
  <si>
    <t> Equipment Manual SINAMICS S120 Booksize Power Units  </t>
  </si>
  <si>
    <t> Equipment Manual SINAMICS S120 AC Drive </t>
  </si>
  <si>
    <t> Equipment Manual SINAMICS S120 Combi  </t>
  </si>
  <si>
    <t> Equipment Manual SINAMICS S120 Air-Cooled Chassis Power Units </t>
  </si>
  <si>
    <t> Equipment Manual SINAMICS S120M Equipment Manual Distributed Drive Technology </t>
  </si>
  <si>
    <t> System Manual SINAMICS S120 Hydraulic Drive </t>
  </si>
  <si>
    <t> System Manual SINAMICS S120 High Frequency Drive </t>
  </si>
  <si>
    <t> System Manual SINAMICS S120 Requirements For Third-Party Motors </t>
  </si>
  <si>
    <t> Commissioning Manual SINAMICS S120 with STARTER </t>
  </si>
  <si>
    <t> List Manual SINAMICS S120/S150 </t>
  </si>
  <si>
    <t> Getting Started SINAMICS S120 with STARTER </t>
  </si>
  <si>
    <t> Function Manual SINAMICS S120 Drive Functions  </t>
  </si>
  <si>
    <t> Function Manual SINAMICS S120 Communication </t>
  </si>
  <si>
    <t> Function Manual TEC Installation </t>
  </si>
  <si>
    <t> Function Manual SINAMICS Technology Extension: Polygon Master Value-Dependent Characteristic Functionality  </t>
  </si>
  <si>
    <t> Function Manual SINAMICS Technology Extension: VIBX (Vibration Extinction) </t>
  </si>
  <si>
    <t> Function Manual SINAMICS Technology Extension: SERVCOUP (Servo Coupling) </t>
  </si>
  <si>
    <t> Function Manual SINAMICS Technology Extension: DCDCCONV (DC-DC Converter)  </t>
  </si>
  <si>
    <t> Function Manual SINAMICS Technology Extension ROTDTEC </t>
  </si>
  <si>
    <t>Further Information</t>
  </si>
  <si>
    <t>Documentation collection as download package (PDFs) for SINUMERIK ONE V6.15</t>
  </si>
  <si>
    <t>SINUMERIK ONE Topic Page</t>
  </si>
  <si>
    <t>Siemens Industry Online Support Source Page</t>
  </si>
  <si>
    <t>SINUMERIK live Milling of freeform surfaces</t>
  </si>
  <si>
    <t>Pinch Turning in ShopTurn &amp; G-code programGuide</t>
  </si>
  <si>
    <t>Webinar</t>
  </si>
  <si>
    <t>Managing memory for large part program files</t>
  </si>
  <si>
    <t>Webinar 01:08</t>
  </si>
  <si>
    <t>Mill-Turn setup and programming Webinar_shopmill</t>
  </si>
  <si>
    <t>Youtube link</t>
  </si>
  <si>
    <t>Probing Measure cut Measure in G-code with programGuide</t>
  </si>
  <si>
    <t>YouTube link</t>
  </si>
  <si>
    <t>Analyze MyWorkpiece Toolpath</t>
  </si>
  <si>
    <t>Use you machine as a CMM</t>
  </si>
  <si>
    <t>Webinar 1:36</t>
  </si>
  <si>
    <t>Webinar 1:48</t>
  </si>
  <si>
    <t>Webinar 1:01</t>
  </si>
  <si>
    <t>Webinar 1:16</t>
  </si>
  <si>
    <t>Discover the Benefit of Integrated CAD-CAM-CNC workflow</t>
  </si>
  <si>
    <t>Calling sub programs and Mirroring in ShopMill</t>
  </si>
  <si>
    <t>How to Video 0:35</t>
  </si>
  <si>
    <t>Taper Compensation on a Lathe</t>
  </si>
  <si>
    <t>How to Video 0:15</t>
  </si>
  <si>
    <t>how to Setup 3 axis CNC mill</t>
  </si>
  <si>
    <t>How to 45:00</t>
  </si>
  <si>
    <t>Deep-hole drilling in action w/ the SINUMERIK CNC</t>
  </si>
  <si>
    <t>How to 35:01</t>
  </si>
  <si>
    <t>Calculating Feeds and Speeds for Milling</t>
  </si>
  <si>
    <t>How to 35:02</t>
  </si>
  <si>
    <t>Making of the 2022 Siemens SINUMERIK CNC Christmas Decoration</t>
  </si>
  <si>
    <t>How to 27:00</t>
  </si>
  <si>
    <t>Intelligent Machining with Adaptive Control and Monitoring (ACM)</t>
  </si>
  <si>
    <t>How to 28:26</t>
  </si>
  <si>
    <t>How to fit 12 tools into a 10-station tool change?  The EMUGE THRILLER    Drill / Thread / Chamfer</t>
  </si>
  <si>
    <t>How to 28:27</t>
  </si>
  <si>
    <t>SINUMERIK live #16.1 Flexible CNC programming | Benefits</t>
  </si>
  <si>
    <t>SINUMERIK live #16.2 Flexible CNC programming | User variables</t>
  </si>
  <si>
    <t>SINUMERIK live #16.4 Flexible CNC programming | Control structures</t>
  </si>
  <si>
    <t>SINUMERIK live #16.5 Flexible CNC programming | Subroutine technology</t>
  </si>
  <si>
    <t>SINUMERIK live #16.6 Flexible CNC programming | Text variables and log files</t>
  </si>
  <si>
    <t>SINUMERIK live #16.7 Flexible CNC programming | Frames and indirect programming</t>
  </si>
  <si>
    <t>SINUMERIK live #16.3 Flexible CNC programming | Mathematical operation</t>
  </si>
  <si>
    <t>How to 05:49</t>
  </si>
  <si>
    <t>How to 15:57</t>
  </si>
  <si>
    <t>How to 09:22</t>
  </si>
  <si>
    <t>How to 07:08</t>
  </si>
  <si>
    <t>How to 11:22</t>
  </si>
  <si>
    <t>How to 11:29</t>
  </si>
  <si>
    <t>How to 13:53</t>
  </si>
  <si>
    <t>Mastering 5-Axis CNC Setup with Siemens Sinumerik Control</t>
  </si>
  <si>
    <t>Run_My_Virtual_Machine demo verison</t>
  </si>
  <si>
    <t>Unlocking the Power of OPC UA in Sinumerik Control</t>
  </si>
  <si>
    <t xml:space="preserve">Youtube Link </t>
  </si>
  <si>
    <t>Webinar 01:25</t>
  </si>
  <si>
    <t>Webinar 01:27</t>
  </si>
  <si>
    <t>Sinumerik One – Discover its Cutting-Edge Features</t>
  </si>
  <si>
    <t>Webinar 01:00</t>
  </si>
  <si>
    <t>Date Updated: 10/11/24</t>
  </si>
  <si>
    <t>Webinar 01:10</t>
  </si>
  <si>
    <t>Mastering 5-Axis CNC Setup Without an Indicator</t>
  </si>
  <si>
    <t>How to 05:34</t>
  </si>
  <si>
    <t>5-Axis Alignment Mastery</t>
  </si>
  <si>
    <t>How to 35:11</t>
  </si>
  <si>
    <t>How to 06:50</t>
  </si>
  <si>
    <t>How to 15:08</t>
  </si>
  <si>
    <t>Can a Probe be used to check for obstacles?</t>
  </si>
  <si>
    <t>How to 17:23</t>
  </si>
  <si>
    <t>Accessing a shared folder in Run My Virtual Machine</t>
  </si>
  <si>
    <t>How to 09:01</t>
  </si>
  <si>
    <t>Creating and Reading in Tool Setup Data on SINUMERIK Controls</t>
  </si>
  <si>
    <t>How to 04:59</t>
  </si>
  <si>
    <t>Shopfloor / Service</t>
  </si>
  <si>
    <t>Auto Servo Tuning | Measure and Validate Existing Settings</t>
  </si>
  <si>
    <t>How to 09:50</t>
  </si>
  <si>
    <t>Pole Angle Calibration for Synchronous Motors</t>
  </si>
  <si>
    <t>How to 11:55</t>
  </si>
  <si>
    <t>Tool Management Configuration using SINUMERIK Operate</t>
  </si>
  <si>
    <t>How to 07:36</t>
  </si>
  <si>
    <t>Static Position Compensation | Theory, Types, and Implementation Methods</t>
  </si>
  <si>
    <t>How to 1:49:28</t>
  </si>
  <si>
    <t>Non-Siemens Synchronous Rotary Motors | Commissioning using a SINUMERIK 840D sl</t>
  </si>
  <si>
    <t>How to 09:30</t>
  </si>
  <si>
    <t>Protecting Intellectual Property with Lock MyCycles (P54)</t>
  </si>
  <si>
    <t>How to 09:49</t>
  </si>
  <si>
    <t>Getting Started with OPC UA | P67 Licensing | 1/3</t>
  </si>
  <si>
    <t>How to 16:31</t>
  </si>
  <si>
    <t>Getting Started with OPC UA | Server Installation | 2/3</t>
  </si>
  <si>
    <t>How to 26:17</t>
  </si>
  <si>
    <t>Getting Started with OPC UA | Server Configuration | 3/3</t>
  </si>
  <si>
    <t>How to 32:28</t>
  </si>
  <si>
    <t>Capturing Data in Operate Using the Trace Tool</t>
  </si>
  <si>
    <t>How to 38:02</t>
  </si>
  <si>
    <t>Saving Screenshots from SINUMERIK Operate to USB Flash Drives</t>
  </si>
  <si>
    <t>How to 02:07</t>
  </si>
  <si>
    <t>Saving the SINUMERIK Operate Alarm Log</t>
  </si>
  <si>
    <t>How to 03:16</t>
  </si>
  <si>
    <t>RunMyVirtualMachine 3D</t>
  </si>
  <si>
    <t>CAM base ON Machine Probing</t>
  </si>
  <si>
    <t>Making of the Christmas 2020 Snowflake Ornament</t>
  </si>
  <si>
    <t>THE 2023 CHRISTMAS EVENT IS FINALLY HERE!!!!</t>
  </si>
  <si>
    <t>Part Probing Calibration on Siemens Control</t>
  </si>
  <si>
    <t>How to 01:17</t>
  </si>
  <si>
    <t>How to 33:15</t>
  </si>
  <si>
    <t>How to 28:50</t>
  </si>
  <si>
    <t>Youtube Live Link</t>
  </si>
  <si>
    <t>THE 2024 CHRISTMAS EVENT. Let's machine a snowman!</t>
  </si>
  <si>
    <t>How to 39:17</t>
  </si>
  <si>
    <t>Cam based on machine probing</t>
  </si>
  <si>
    <t>How to 1:00:24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</si>
</sst>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"/>
  </numFmts>
  <fonts count="2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5"/>
      <color theme="10"/>
      <name val="Calibri"/>
      <family val="2"/>
      <scheme val="minor"/>
    </font>
    <font>
      <i/>
      <sz val="15"/>
      <color theme="1"/>
      <name val="Calibri"/>
      <family val="2"/>
      <scheme val="minor"/>
    </font>
    <font>
      <sz val="15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color rgb="FF333333"/>
      <name val="Inherit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32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/>
      <bottom style="dotted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4" fillId="5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Fill="1" applyAlignment="1" applyProtection="1">
      <alignment horizont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2" fillId="0" borderId="0" xfId="1"/>
    <xf numFmtId="0" fontId="3" fillId="0" borderId="0" xfId="0" applyFont="1"/>
    <xf numFmtId="0" fontId="17" fillId="0" borderId="0" xfId="0" applyFont="1"/>
    <xf numFmtId="0" fontId="18" fillId="0" borderId="0" xfId="0" applyFont="1"/>
    <xf numFmtId="0" fontId="19" fillId="0" borderId="0" xfId="1" applyFont="1"/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49" fontId="14" fillId="2" borderId="6" xfId="0" applyNumberFormat="1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49" fontId="14" fillId="2" borderId="9" xfId="0" applyNumberFormat="1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4" fillId="4" borderId="4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Alignment="1" applyProtection="1">
      <alignment vertical="center" wrapText="1"/>
      <protection locked="0"/>
    </xf>
    <xf numFmtId="164" fontId="16" fillId="4" borderId="0" xfId="0" applyNumberFormat="1" applyFont="1" applyFill="1" applyAlignment="1" applyProtection="1">
      <alignment vertical="center" wrapText="1"/>
      <protection locked="0"/>
    </xf>
    <xf numFmtId="164" fontId="16" fillId="4" borderId="11" xfId="0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2" fillId="0" borderId="0" xfId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4" fillId="4" borderId="4" xfId="0" quotePrefix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6" fillId="4" borderId="11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3" borderId="4" xfId="0" applyFont="1" applyFill="1" applyBorder="1" applyAlignment="1">
      <alignment vertical="top" wrapText="1"/>
    </xf>
    <xf numFmtId="0" fontId="21" fillId="0" borderId="0" xfId="1" applyFont="1"/>
    <xf numFmtId="0" fontId="2" fillId="6" borderId="0" xfId="1" applyFill="1" applyAlignment="1">
      <alignment vertical="top" wrapText="1"/>
    </xf>
    <xf numFmtId="0" fontId="2" fillId="6" borderId="16" xfId="1" applyFill="1" applyBorder="1" applyAlignment="1">
      <alignment vertical="top" wrapText="1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vertical="top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7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left" vertical="center" wrapText="1"/>
    </xf>
    <xf numFmtId="0" fontId="26" fillId="7" borderId="0" xfId="0" applyFont="1" applyFill="1" applyAlignment="1">
      <alignment horizontal="left" vertical="center" wrapText="1"/>
    </xf>
    <xf numFmtId="0" fontId="22" fillId="8" borderId="15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1" applyFill="1" applyAlignment="1" applyProtection="1">
      <alignment horizontal="center"/>
    </xf>
    <xf numFmtId="0" fontId="2" fillId="0" borderId="0" xfId="1" applyAlignment="1" applyProtection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</cellXfs>
  <cellStyles count="3">
    <cellStyle name="Followed Hyperlink" xfId="2" builtinId="9" customBuiltin="1"/>
    <cellStyle name="Hyperlink" xfId="1" builtinId="8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2C7CE"/>
      <color rgb="FF0DC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usa.siemens.com/cnc4you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facebook.com/siemens.cnc.us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https://www.linkedin.com/in/chris-pollack/" TargetMode="External"/><Relationship Id="rId6" Type="http://schemas.openxmlformats.org/officeDocument/2006/relationships/hyperlink" Target="http://twitter.com/siemens_cnc_us" TargetMode="External"/><Relationship Id="rId5" Type="http://schemas.openxmlformats.org/officeDocument/2006/relationships/image" Target="../media/image5.png"/><Relationship Id="rId4" Type="http://schemas.openxmlformats.org/officeDocument/2006/relationships/hyperlink" Target="http://youtube.com/mrcnc" TargetMode="External"/><Relationship Id="rId9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hyperlink" Target="https://visitor.r20.constantcontact.com/manage/optin?v=001kgmOWTO5dMHK4jV0pooC_FSHXgTljQXBS1HcYcf-xeYpNakEvMPy-3xgP5Q0zxKaiwSOr3ZbGAG1UxiPPItAF8j_EYNcNzRW8WNp5d5S5vQ%3D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http://usa.siemens.com/cnc-downloads" TargetMode="External"/><Relationship Id="rId1" Type="http://schemas.openxmlformats.org/officeDocument/2006/relationships/image" Target="../media/image9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137583</xdr:rowOff>
    </xdr:from>
    <xdr:to>
      <xdr:col>1</xdr:col>
      <xdr:colOff>1333288</xdr:colOff>
      <xdr:row>0</xdr:row>
      <xdr:rowOff>347133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DBBAFC-87FC-47A3-822F-E2C94D12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3" y="137583"/>
          <a:ext cx="1322705" cy="20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80817</xdr:colOff>
      <xdr:row>1</xdr:row>
      <xdr:rowOff>0</xdr:rowOff>
    </xdr:from>
    <xdr:to>
      <xdr:col>0</xdr:col>
      <xdr:colOff>1403522</xdr:colOff>
      <xdr:row>2</xdr:row>
      <xdr:rowOff>13278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25713-E6AF-4FB7-8654-72781C40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7" y="190500"/>
          <a:ext cx="1322705" cy="203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80817</xdr:colOff>
      <xdr:row>1</xdr:row>
      <xdr:rowOff>0</xdr:rowOff>
    </xdr:from>
    <xdr:to>
      <xdr:col>0</xdr:col>
      <xdr:colOff>1403522</xdr:colOff>
      <xdr:row>2</xdr:row>
      <xdr:rowOff>13278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5E3914-A468-3C48-836B-DF2F1DEB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7" y="196273"/>
          <a:ext cx="1322705" cy="20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</xdr:colOff>
      <xdr:row>3</xdr:row>
      <xdr:rowOff>42333</xdr:rowOff>
    </xdr:from>
    <xdr:to>
      <xdr:col>4</xdr:col>
      <xdr:colOff>610043</xdr:colOff>
      <xdr:row>35</xdr:row>
      <xdr:rowOff>118533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112F6C8-0290-4BF0-8834-E2C17CDB4B5B}"/>
            </a:ext>
          </a:extLst>
        </xdr:cNvPr>
        <xdr:cNvGrpSpPr/>
      </xdr:nvGrpSpPr>
      <xdr:grpSpPr>
        <a:xfrm>
          <a:off x="16933" y="722690"/>
          <a:ext cx="8199503" cy="9111343"/>
          <a:chOff x="16933" y="722690"/>
          <a:chExt cx="8199503" cy="9111343"/>
        </a:xfrm>
      </xdr:grpSpPr>
      <xdr:pic>
        <xdr:nvPicPr>
          <xdr:cNvPr id="2" name="Picture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A153D3C-D10E-20F0-DB94-0EC1FBC470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933" y="722690"/>
            <a:ext cx="6995848" cy="9111343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F57F38D-DDE4-3CF8-BB13-D0011C96F2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18828294">
            <a:off x="5603201" y="5532917"/>
            <a:ext cx="2552093" cy="267437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16934</xdr:colOff>
      <xdr:row>2</xdr:row>
      <xdr:rowOff>169334</xdr:rowOff>
    </xdr:from>
    <xdr:to>
      <xdr:col>0</xdr:col>
      <xdr:colOff>4721679</xdr:colOff>
      <xdr:row>30</xdr:row>
      <xdr:rowOff>143837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9C8E2C-0868-4E16-9E83-93EAE7D3B792}"/>
            </a:ext>
          </a:extLst>
        </xdr:cNvPr>
        <xdr:cNvGrpSpPr/>
      </xdr:nvGrpSpPr>
      <xdr:grpSpPr>
        <a:xfrm>
          <a:off x="16934" y="661459"/>
          <a:ext cx="4704745" cy="5308503"/>
          <a:chOff x="16934" y="659191"/>
          <a:chExt cx="4704745" cy="5308503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17AD802-C16E-B45B-D0F2-1A0C072D6D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934" y="659191"/>
            <a:ext cx="4704745" cy="4792132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0A92CE9-E896-234E-97B1-652450C46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952090">
            <a:off x="190563" y="4381942"/>
            <a:ext cx="1619618" cy="158575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4479535</xdr:colOff>
      <xdr:row>2</xdr:row>
      <xdr:rowOff>177800</xdr:rowOff>
    </xdr:from>
    <xdr:to>
      <xdr:col>5</xdr:col>
      <xdr:colOff>175179</xdr:colOff>
      <xdr:row>30</xdr:row>
      <xdr:rowOff>105737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7B4E408A-C1EE-4418-9F8C-6897E7A9073C}"/>
            </a:ext>
          </a:extLst>
        </xdr:cNvPr>
        <xdr:cNvGrpSpPr/>
      </xdr:nvGrpSpPr>
      <xdr:grpSpPr>
        <a:xfrm>
          <a:off x="4479535" y="669925"/>
          <a:ext cx="6236644" cy="5261937"/>
          <a:chOff x="4479535" y="667657"/>
          <a:chExt cx="6213965" cy="5261937"/>
        </a:xfrm>
      </xdr:grpSpPr>
      <xdr:pic>
        <xdr:nvPicPr>
          <xdr:cNvPr id="5" name="Pictur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B5F0D7-55F6-E3CE-110A-05F3D17B4D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229375" y="667657"/>
            <a:ext cx="5464125" cy="4800600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29B9EDB5-532E-4601-AF55-1847254D7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952090">
            <a:off x="4479535" y="4343842"/>
            <a:ext cx="1619618" cy="1585752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141578</xdr:colOff>
      <xdr:row>3</xdr:row>
      <xdr:rowOff>4232</xdr:rowOff>
    </xdr:from>
    <xdr:to>
      <xdr:col>12</xdr:col>
      <xdr:colOff>489858</xdr:colOff>
      <xdr:row>31</xdr:row>
      <xdr:rowOff>108460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1A7AF4D-4E24-4C41-887A-F69B97F442E7}"/>
            </a:ext>
          </a:extLst>
        </xdr:cNvPr>
        <xdr:cNvGrpSpPr/>
      </xdr:nvGrpSpPr>
      <xdr:grpSpPr>
        <a:xfrm>
          <a:off x="10682578" y="686857"/>
          <a:ext cx="5460030" cy="5501728"/>
          <a:chOff x="10659899" y="684589"/>
          <a:chExt cx="5396530" cy="5492657"/>
        </a:xfrm>
      </xdr:grpSpPr>
      <xdr:pic>
        <xdr:nvPicPr>
          <xdr:cNvPr id="7" name="Picture 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CE1BBD2-4AFF-4EEE-86C7-5FD2ADCA841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l="30019"/>
          <a:stretch/>
        </xdr:blipFill>
        <xdr:spPr>
          <a:xfrm>
            <a:off x="11240104" y="684589"/>
            <a:ext cx="4816325" cy="4809068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EE7AFA33-4468-42BE-827A-8C3201F51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952090">
            <a:off x="10659899" y="4591494"/>
            <a:ext cx="1619618" cy="158575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307583</xdr:colOff>
      <xdr:row>3</xdr:row>
      <xdr:rowOff>1</xdr:rowOff>
    </xdr:from>
    <xdr:to>
      <xdr:col>23</xdr:col>
      <xdr:colOff>98047</xdr:colOff>
      <xdr:row>50</xdr:row>
      <xdr:rowOff>111184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CFDEB5-65CC-4F18-BD4D-FC64E187FBBC}"/>
            </a:ext>
          </a:extLst>
        </xdr:cNvPr>
        <xdr:cNvGrpSpPr/>
      </xdr:nvGrpSpPr>
      <xdr:grpSpPr>
        <a:xfrm>
          <a:off x="15960333" y="682626"/>
          <a:ext cx="7823214" cy="10080683"/>
          <a:chOff x="15874154" y="680358"/>
          <a:chExt cx="7723429" cy="9935540"/>
        </a:xfrm>
      </xdr:grpSpPr>
      <xdr:pic>
        <xdr:nvPicPr>
          <xdr:cNvPr id="9" name="Picture 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C7EBB50-AA7C-8559-044B-F63B4C154B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6451069" y="680358"/>
            <a:ext cx="7146514" cy="8869805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DF77B78-7196-45FB-B7D1-250D69D73E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952090">
            <a:off x="15874154" y="9030146"/>
            <a:ext cx="1619618" cy="158575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165100</xdr:rowOff>
    </xdr:from>
    <xdr:to>
      <xdr:col>10</xdr:col>
      <xdr:colOff>817002</xdr:colOff>
      <xdr:row>48</xdr:row>
      <xdr:rowOff>4155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5A26AA-2E30-4330-A13A-BB6549709A93}"/>
            </a:ext>
          </a:extLst>
        </xdr:cNvPr>
        <xdr:cNvGrpSpPr/>
      </xdr:nvGrpSpPr>
      <xdr:grpSpPr>
        <a:xfrm>
          <a:off x="0" y="847725"/>
          <a:ext cx="8437002" cy="8411555"/>
          <a:chOff x="0" y="845457"/>
          <a:chExt cx="8437002" cy="846598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AF9006D-D1CD-D491-8F9E-1B98D2BEE6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845457"/>
            <a:ext cx="7200900" cy="7420176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C4EFCE5-6AD9-48A0-B112-8C501F4A33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18828294">
            <a:off x="5823767" y="6698206"/>
            <a:ext cx="2552093" cy="267437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16934</xdr:colOff>
      <xdr:row>3</xdr:row>
      <xdr:rowOff>59267</xdr:rowOff>
    </xdr:from>
    <xdr:to>
      <xdr:col>4</xdr:col>
      <xdr:colOff>584201</xdr:colOff>
      <xdr:row>22</xdr:row>
      <xdr:rowOff>184763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35E77D-250C-2FA1-C5AE-4072D45D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4" y="558800"/>
          <a:ext cx="7772400" cy="4951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46181</xdr:colOff>
      <xdr:row>23</xdr:row>
      <xdr:rowOff>244474</xdr:rowOff>
    </xdr:from>
    <xdr:to>
      <xdr:col>6</xdr:col>
      <xdr:colOff>361162</xdr:colOff>
      <xdr:row>55</xdr:row>
      <xdr:rowOff>181695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ECE3B0D-C279-4F34-B4CD-6DE44796274A}"/>
            </a:ext>
          </a:extLst>
        </xdr:cNvPr>
        <xdr:cNvGrpSpPr/>
      </xdr:nvGrpSpPr>
      <xdr:grpSpPr>
        <a:xfrm>
          <a:off x="46181" y="6070599"/>
          <a:ext cx="8300106" cy="7160346"/>
          <a:chOff x="46181" y="5877831"/>
          <a:chExt cx="8288767" cy="7040150"/>
        </a:xfrm>
      </xdr:grpSpPr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1D8EC1-6CE7-E466-A348-61FE48767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6181" y="5877831"/>
            <a:ext cx="6868143" cy="7040150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1E9FF6F-B120-4613-A4F9-52C90C6695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18828294">
            <a:off x="5721713" y="9613537"/>
            <a:ext cx="2552093" cy="26743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outube.com/watch?v=QvBPuUIde0Y" TargetMode="External"/><Relationship Id="rId117" Type="http://schemas.openxmlformats.org/officeDocument/2006/relationships/hyperlink" Target="https://www.youtube.com/watch?v=BR4cnKy0TjI&amp;list=PLRxv9if3THyn-iCYbH1crIvS_0SVhBpYv&amp;index=14" TargetMode="External"/><Relationship Id="rId21" Type="http://schemas.openxmlformats.org/officeDocument/2006/relationships/hyperlink" Target="https://www.youtube.com/watch?v=mMX-4R3fIww" TargetMode="External"/><Relationship Id="rId42" Type="http://schemas.openxmlformats.org/officeDocument/2006/relationships/hyperlink" Target="https://youtu.be/xfIeiMA2vbM" TargetMode="External"/><Relationship Id="rId47" Type="http://schemas.openxmlformats.org/officeDocument/2006/relationships/hyperlink" Target="https://youtu.be/3AQOEsIktTk" TargetMode="External"/><Relationship Id="rId63" Type="http://schemas.openxmlformats.org/officeDocument/2006/relationships/hyperlink" Target="https://youtu.be/-CmbtqRcMXI" TargetMode="External"/><Relationship Id="rId68" Type="http://schemas.openxmlformats.org/officeDocument/2006/relationships/hyperlink" Target="https://youtu.be/ZD_W8cHUTzE" TargetMode="External"/><Relationship Id="rId84" Type="http://schemas.openxmlformats.org/officeDocument/2006/relationships/hyperlink" Target="https://youtu.be/eN4dpsKkWeo" TargetMode="External"/><Relationship Id="rId89" Type="http://schemas.openxmlformats.org/officeDocument/2006/relationships/hyperlink" Target="https://www.youtube.com/watch?v=PQgJwQgkcQ8&amp;list=PLRxv9if3THyn-iCYbH1crIvS_0SVhBpYv&amp;index=11" TargetMode="External"/><Relationship Id="rId112" Type="http://schemas.openxmlformats.org/officeDocument/2006/relationships/hyperlink" Target="https://youtu.be/8MwWRt_8hxY" TargetMode="External"/><Relationship Id="rId133" Type="http://schemas.openxmlformats.org/officeDocument/2006/relationships/hyperlink" Target="https://youtu.be/2THIJ7_MGoY" TargetMode="External"/><Relationship Id="rId138" Type="http://schemas.openxmlformats.org/officeDocument/2006/relationships/hyperlink" Target="https://youtu.be/8jVr-W12ZRY" TargetMode="External"/><Relationship Id="rId154" Type="http://schemas.openxmlformats.org/officeDocument/2006/relationships/hyperlink" Target="https://www.youtube.com/watch?v=Pb8N2Lzn7qY&amp;t=65s" TargetMode="External"/><Relationship Id="rId159" Type="http://schemas.openxmlformats.org/officeDocument/2006/relationships/hyperlink" Target="https://youtu.be/Q0GnZIkgZj8" TargetMode="External"/><Relationship Id="rId16" Type="http://schemas.openxmlformats.org/officeDocument/2006/relationships/hyperlink" Target="https://www.youtube.com/watch?v=N0Rf9gnbcQs&amp;t=3s" TargetMode="External"/><Relationship Id="rId107" Type="http://schemas.openxmlformats.org/officeDocument/2006/relationships/hyperlink" Target="https://youtu.be/t7mn0TTl2JQ" TargetMode="External"/><Relationship Id="rId11" Type="http://schemas.openxmlformats.org/officeDocument/2006/relationships/hyperlink" Target="https://www.youtube.com/playlist?list=PLRxv9if3THykE3bUqR_yGCL12ggXq1Ulz" TargetMode="External"/><Relationship Id="rId32" Type="http://schemas.openxmlformats.org/officeDocument/2006/relationships/hyperlink" Target="https://www.youtube.com/watch?v=XJ6p7WnCzV4&amp;t=4s" TargetMode="External"/><Relationship Id="rId37" Type="http://schemas.openxmlformats.org/officeDocument/2006/relationships/hyperlink" Target="https://www.youtube.com/watch?v=FGHHO6UL4U4&amp;t=2s" TargetMode="External"/><Relationship Id="rId53" Type="http://schemas.openxmlformats.org/officeDocument/2006/relationships/hyperlink" Target="https://www.youtube.com/watch?v=nzUnDInd-ZE&amp;list=PLRxv9if3THyn-iCYbH1crIvS_0SVhBpYv&amp;index=12&amp;t=134s" TargetMode="External"/><Relationship Id="rId58" Type="http://schemas.openxmlformats.org/officeDocument/2006/relationships/hyperlink" Target="https://youtu.be/_hPghVJd1jk" TargetMode="External"/><Relationship Id="rId74" Type="http://schemas.openxmlformats.org/officeDocument/2006/relationships/hyperlink" Target="https://youtu.be/Df43Xb7Q2qc" TargetMode="External"/><Relationship Id="rId79" Type="http://schemas.openxmlformats.org/officeDocument/2006/relationships/hyperlink" Target="https://youtu.be/cu6LgOX8eDk" TargetMode="External"/><Relationship Id="rId102" Type="http://schemas.openxmlformats.org/officeDocument/2006/relationships/hyperlink" Target="https://youtu.be/sY3Xl1EO6CQ" TargetMode="External"/><Relationship Id="rId123" Type="http://schemas.openxmlformats.org/officeDocument/2006/relationships/hyperlink" Target="https://youtube.com/live/c2vNdDUuTEY" TargetMode="External"/><Relationship Id="rId128" Type="http://schemas.openxmlformats.org/officeDocument/2006/relationships/hyperlink" Target="https://www.youtube.com/watch?v=iIsdc25Qy0c&amp;list=PL45872A31E6FECBD0&amp;index=3" TargetMode="External"/><Relationship Id="rId144" Type="http://schemas.openxmlformats.org/officeDocument/2006/relationships/hyperlink" Target="https://youtu.be/rb1dv1pHotA?si=KxdKy1uR3_n5qptO" TargetMode="External"/><Relationship Id="rId149" Type="http://schemas.openxmlformats.org/officeDocument/2006/relationships/hyperlink" Target="https://youtu.be/mm9Pg121VC0?si=UCeWU52W35SIF2fE" TargetMode="External"/><Relationship Id="rId5" Type="http://schemas.openxmlformats.org/officeDocument/2006/relationships/hyperlink" Target="https://www.youtube.com/watch?v=Bgq293wPHFU&amp;list=PLRxv9if3THyn-iCYbH1crIvS_0SVhBpYv&amp;t=0s&amp;index=4" TargetMode="External"/><Relationship Id="rId90" Type="http://schemas.openxmlformats.org/officeDocument/2006/relationships/hyperlink" Target="https://www.youtube.com/watch?v=gHcD51oBjhs&amp;list=PLRxv9if3THyn-iCYbH1crIvS_0SVhBpYv&amp;index=12" TargetMode="External"/><Relationship Id="rId95" Type="http://schemas.openxmlformats.org/officeDocument/2006/relationships/hyperlink" Target="https://youtu.be/a1x0eMOQYK4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www.youtube.com/watch?v=bM9L0Jrbg60" TargetMode="External"/><Relationship Id="rId27" Type="http://schemas.openxmlformats.org/officeDocument/2006/relationships/hyperlink" Target="https://www.youtube.com/watch?v=DiScD9xRHhk&amp;t=283s" TargetMode="External"/><Relationship Id="rId43" Type="http://schemas.openxmlformats.org/officeDocument/2006/relationships/hyperlink" Target="https://youtu.be/yhcwXlQh7RM" TargetMode="External"/><Relationship Id="rId48" Type="http://schemas.openxmlformats.org/officeDocument/2006/relationships/hyperlink" Target="https://youtu.be/wgspp4RkDq0" TargetMode="External"/><Relationship Id="rId64" Type="http://schemas.openxmlformats.org/officeDocument/2006/relationships/hyperlink" Target="https://youtu.be/RbamP6BxyAA" TargetMode="External"/><Relationship Id="rId69" Type="http://schemas.openxmlformats.org/officeDocument/2006/relationships/hyperlink" Target="https://youtu.be/IpnMHvPyFJU" TargetMode="External"/><Relationship Id="rId113" Type="http://schemas.openxmlformats.org/officeDocument/2006/relationships/hyperlink" Target="https://youtu.be/cyVS6F4i9IM" TargetMode="External"/><Relationship Id="rId118" Type="http://schemas.openxmlformats.org/officeDocument/2006/relationships/hyperlink" Target="https://youtube.com/live/hjUajyjBRic" TargetMode="External"/><Relationship Id="rId134" Type="http://schemas.openxmlformats.org/officeDocument/2006/relationships/hyperlink" Target="https://youtu.be/zKSB3zxsvIM" TargetMode="External"/><Relationship Id="rId139" Type="http://schemas.openxmlformats.org/officeDocument/2006/relationships/hyperlink" Target="https://youtu.be/3oq-cHnhozU" TargetMode="External"/><Relationship Id="rId80" Type="http://schemas.openxmlformats.org/officeDocument/2006/relationships/hyperlink" Target="https://youtu.be/0odFIbEqjzI" TargetMode="External"/><Relationship Id="rId85" Type="http://schemas.openxmlformats.org/officeDocument/2006/relationships/hyperlink" Target="https://youtu.be/ECgqZebvg6U" TargetMode="External"/><Relationship Id="rId150" Type="http://schemas.openxmlformats.org/officeDocument/2006/relationships/hyperlink" Target="https://youtu.be/rcftKdleXDc?si=Xhhi89NTqJwcbZ2N" TargetMode="External"/><Relationship Id="rId155" Type="http://schemas.openxmlformats.org/officeDocument/2006/relationships/hyperlink" Target="https://www.youtube.com/watch?v=gf7jVsH2KaI&amp;t=346s" TargetMode="External"/><Relationship Id="rId12" Type="http://schemas.openxmlformats.org/officeDocument/2006/relationships/hyperlink" Target="https://www.youtube.com/watch?v=Q_n_1mc-MwU" TargetMode="External"/><Relationship Id="rId17" Type="http://schemas.openxmlformats.org/officeDocument/2006/relationships/hyperlink" Target="https://www.youtube.com/watch?v=EuE_sGBGqoI" TargetMode="External"/><Relationship Id="rId33" Type="http://schemas.openxmlformats.org/officeDocument/2006/relationships/hyperlink" Target="https://www.youtube.com/watch?v=qnaxBL_fsP4" TargetMode="External"/><Relationship Id="rId38" Type="http://schemas.openxmlformats.org/officeDocument/2006/relationships/hyperlink" Target="https://www.youtube.com/watch?v=nzsW-NspS9E&amp;t=3s" TargetMode="External"/><Relationship Id="rId59" Type="http://schemas.openxmlformats.org/officeDocument/2006/relationships/hyperlink" Target="https://youtu.be/xkuzJuEkWq4" TargetMode="External"/><Relationship Id="rId103" Type="http://schemas.openxmlformats.org/officeDocument/2006/relationships/hyperlink" Target="https://youtu.be/1Si__7VFiWY" TargetMode="External"/><Relationship Id="rId108" Type="http://schemas.openxmlformats.org/officeDocument/2006/relationships/hyperlink" Target="https://youtu.be/BvjYNGrJJHQ" TargetMode="External"/><Relationship Id="rId124" Type="http://schemas.openxmlformats.org/officeDocument/2006/relationships/hyperlink" Target="https://www.youtube.com/watch?v=DYTUn10g40Y&amp;list=PL45872A31E6FECBD0&amp;index=7" TargetMode="External"/><Relationship Id="rId129" Type="http://schemas.openxmlformats.org/officeDocument/2006/relationships/hyperlink" Target="https://www.youtube.com/watch?v=7OWaB568rzg&amp;list=PL45872A31E6FECBD0&amp;index=2" TargetMode="External"/><Relationship Id="rId20" Type="http://schemas.openxmlformats.org/officeDocument/2006/relationships/hyperlink" Target="https://youtu.be/wWVY2CVJV2U" TargetMode="External"/><Relationship Id="rId41" Type="http://schemas.openxmlformats.org/officeDocument/2006/relationships/hyperlink" Target="https://youtu.be/jxSrwlFHs28" TargetMode="External"/><Relationship Id="rId54" Type="http://schemas.openxmlformats.org/officeDocument/2006/relationships/hyperlink" Target="https://www.youtube.com/watch?v=gb7dq2k_XuQ&amp;list=PLRxv9if3THyn-iCYbH1crIvS_0SVhBpYv&amp;index=11&amp;t=0s" TargetMode="External"/><Relationship Id="rId62" Type="http://schemas.openxmlformats.org/officeDocument/2006/relationships/hyperlink" Target="https://youtu.be/WsS2blwK3lY" TargetMode="External"/><Relationship Id="rId70" Type="http://schemas.openxmlformats.org/officeDocument/2006/relationships/hyperlink" Target="https://youtu.be/u-QfPPlpuTc" TargetMode="External"/><Relationship Id="rId75" Type="http://schemas.openxmlformats.org/officeDocument/2006/relationships/hyperlink" Target="https://youtu.be/jT7ajJiOpmY" TargetMode="External"/><Relationship Id="rId83" Type="http://schemas.openxmlformats.org/officeDocument/2006/relationships/hyperlink" Target="https://youtu.be/TfcNa0goFwE" TargetMode="External"/><Relationship Id="rId88" Type="http://schemas.openxmlformats.org/officeDocument/2006/relationships/hyperlink" Target="https://youtu.be/hYQcRJ1ZZ3Q" TargetMode="External"/><Relationship Id="rId91" Type="http://schemas.openxmlformats.org/officeDocument/2006/relationships/hyperlink" Target="https://www.youtube.com/watch?v=l7Ywm6jVf8k&amp;list=PLRxv9if3THyn-iCYbH1crIvS_0SVhBpYv&amp;index=13" TargetMode="External"/><Relationship Id="rId96" Type="http://schemas.openxmlformats.org/officeDocument/2006/relationships/hyperlink" Target="https://youtu.be/0j8Me_FSKVw" TargetMode="External"/><Relationship Id="rId111" Type="http://schemas.openxmlformats.org/officeDocument/2006/relationships/hyperlink" Target="https://youtu.be/u1F9AomPjOI" TargetMode="External"/><Relationship Id="rId132" Type="http://schemas.openxmlformats.org/officeDocument/2006/relationships/hyperlink" Target="https://youtu.be/wJX0IIL3VsQ" TargetMode="External"/><Relationship Id="rId140" Type="http://schemas.openxmlformats.org/officeDocument/2006/relationships/hyperlink" Target="https://youtu.be/jXrZxKQKfN0" TargetMode="External"/><Relationship Id="rId145" Type="http://schemas.openxmlformats.org/officeDocument/2006/relationships/hyperlink" Target="https://youtu.be/jhClE7SinCU?si=fOaKxHHhIFQxqguP" TargetMode="External"/><Relationship Id="rId153" Type="http://schemas.openxmlformats.org/officeDocument/2006/relationships/hyperlink" Target="https://youtu.be/zIL7KYHe3z4?si=mDrLjwTSD3ebMKpq" TargetMode="External"/><Relationship Id="rId161" Type="http://schemas.openxmlformats.org/officeDocument/2006/relationships/drawing" Target="../drawings/drawing1.xml"/><Relationship Id="rId1" Type="http://schemas.openxmlformats.org/officeDocument/2006/relationships/hyperlink" Target="https://www.youtube.com/watch?v=EFOexC7MVn8&amp;t=64s" TargetMode="External"/><Relationship Id="rId6" Type="http://schemas.openxmlformats.org/officeDocument/2006/relationships/hyperlink" Target="https://www.youtube.com/watch?v=uPX1SiVDNdQ&amp;list=PLRxv9if3THyn-iCYbH1crIvS_0SVhBpYv&amp;t=344s&amp;index=5" TargetMode="External"/><Relationship Id="rId15" Type="http://schemas.openxmlformats.org/officeDocument/2006/relationships/hyperlink" Target="https://www.youtube.com/watch?v=WeMCwfHjKtQ" TargetMode="External"/><Relationship Id="rId23" Type="http://schemas.openxmlformats.org/officeDocument/2006/relationships/hyperlink" Target="https://www.youtube.com/watch?v=ExVlm4BmF_s&amp;t=16s" TargetMode="External"/><Relationship Id="rId28" Type="http://schemas.openxmlformats.org/officeDocument/2006/relationships/hyperlink" Target="https://www.youtube.com/watch?v=FSOPNLMn7GE" TargetMode="External"/><Relationship Id="rId36" Type="http://schemas.openxmlformats.org/officeDocument/2006/relationships/hyperlink" Target="https://www.youtube.com/watch?v=T9MAlI3Xb3I" TargetMode="External"/><Relationship Id="rId49" Type="http://schemas.openxmlformats.org/officeDocument/2006/relationships/hyperlink" Target="https://youtu.be/8FaeYotNRfQ" TargetMode="External"/><Relationship Id="rId57" Type="http://schemas.openxmlformats.org/officeDocument/2006/relationships/hyperlink" Target="https://youtu.be/Ep-YXXKP4Tk" TargetMode="External"/><Relationship Id="rId106" Type="http://schemas.openxmlformats.org/officeDocument/2006/relationships/hyperlink" Target="https://youtu.be/mWGKefnnnXI" TargetMode="External"/><Relationship Id="rId114" Type="http://schemas.openxmlformats.org/officeDocument/2006/relationships/hyperlink" Target="https://youtu.be/faMr7HmKtE8" TargetMode="External"/><Relationship Id="rId119" Type="http://schemas.openxmlformats.org/officeDocument/2006/relationships/hyperlink" Target="https://youtube.com/live/s2NK4VOLHxg" TargetMode="External"/><Relationship Id="rId127" Type="http://schemas.openxmlformats.org/officeDocument/2006/relationships/hyperlink" Target="https://www.youtube.com/watch?v=e9LZRXat3xo&amp;list=PL45872A31E6FECBD0&amp;index=4" TargetMode="External"/><Relationship Id="rId10" Type="http://schemas.openxmlformats.org/officeDocument/2006/relationships/hyperlink" Target="https://www.youtube.com/playlist?list=PLRxv9if3THykNFxC5-pB3nVrkgLYYesOG" TargetMode="External"/><Relationship Id="rId31" Type="http://schemas.openxmlformats.org/officeDocument/2006/relationships/hyperlink" Target="https://www.youtube.com/watch?v=H4nMX3aFVQo" TargetMode="External"/><Relationship Id="rId44" Type="http://schemas.openxmlformats.org/officeDocument/2006/relationships/hyperlink" Target="https://youtu.be/0-jBvW1gvrs" TargetMode="External"/><Relationship Id="rId52" Type="http://schemas.openxmlformats.org/officeDocument/2006/relationships/hyperlink" Target="https://youtu.be/2orMFuNJAXk" TargetMode="External"/><Relationship Id="rId60" Type="http://schemas.openxmlformats.org/officeDocument/2006/relationships/hyperlink" Target="https://youtu.be/Spdx1rSnMx0" TargetMode="External"/><Relationship Id="rId65" Type="http://schemas.openxmlformats.org/officeDocument/2006/relationships/hyperlink" Target="https://youtu.be/D-KGJdcMg94" TargetMode="External"/><Relationship Id="rId73" Type="http://schemas.openxmlformats.org/officeDocument/2006/relationships/hyperlink" Target="https://youtu.be/ZD_W8cHUTzE" TargetMode="External"/><Relationship Id="rId78" Type="http://schemas.openxmlformats.org/officeDocument/2006/relationships/hyperlink" Target="https://youtu.be/e3ZPGXQObWo" TargetMode="External"/><Relationship Id="rId81" Type="http://schemas.openxmlformats.org/officeDocument/2006/relationships/hyperlink" Target="https://youtu.be/yoSRHGgMXg4" TargetMode="External"/><Relationship Id="rId86" Type="http://schemas.openxmlformats.org/officeDocument/2006/relationships/hyperlink" Target="https://youtu.be/d8z7GIYkC44" TargetMode="External"/><Relationship Id="rId94" Type="http://schemas.openxmlformats.org/officeDocument/2006/relationships/hyperlink" Target="http://usa.siemens.com/vpe" TargetMode="External"/><Relationship Id="rId99" Type="http://schemas.openxmlformats.org/officeDocument/2006/relationships/hyperlink" Target="https://youtu.be/4P1YZRD4rIQ" TargetMode="External"/><Relationship Id="rId101" Type="http://schemas.openxmlformats.org/officeDocument/2006/relationships/hyperlink" Target="https://youtu.be/OdaJBhIZvhI" TargetMode="External"/><Relationship Id="rId122" Type="http://schemas.openxmlformats.org/officeDocument/2006/relationships/hyperlink" Target="https://youtube.com/live/_UNbpvfmK-E" TargetMode="External"/><Relationship Id="rId130" Type="http://schemas.openxmlformats.org/officeDocument/2006/relationships/hyperlink" Target="https://www.youtube.com/watch?v=ZOhy87xYEHs&amp;list=PL45872A31E6FECBD0&amp;index=1" TargetMode="External"/><Relationship Id="rId135" Type="http://schemas.openxmlformats.org/officeDocument/2006/relationships/hyperlink" Target="https://youtu.be/c1JkzskLOEM" TargetMode="External"/><Relationship Id="rId143" Type="http://schemas.openxmlformats.org/officeDocument/2006/relationships/hyperlink" Target="https://youtu.be/QfizPIUwq-M?si=8AmGqTygp1EYKsKR" TargetMode="External"/><Relationship Id="rId148" Type="http://schemas.openxmlformats.org/officeDocument/2006/relationships/hyperlink" Target="https://youtu.be/a56Ck8kXCGM?si=Y_5Ny3Fb-oyO4wQU" TargetMode="External"/><Relationship Id="rId151" Type="http://schemas.openxmlformats.org/officeDocument/2006/relationships/hyperlink" Target="https://youtu.be/Pcccv-tnZTs?si=PLLr4TGzB9cqGIph" TargetMode="External"/><Relationship Id="rId156" Type="http://schemas.openxmlformats.org/officeDocument/2006/relationships/hyperlink" Target="https://www.youtube.com/watch?v=-AxEWILCj6s&amp;t=452s" TargetMode="External"/><Relationship Id="rId4" Type="http://schemas.openxmlformats.org/officeDocument/2006/relationships/hyperlink" Target="https://www.youtube.com/watch?v=eHYUxmVeEUA&amp;list=PLRxv9if3THyn-iCYbH1crIvS_0SVhBpYv&amp;t=0s&amp;index=3" TargetMode="External"/><Relationship Id="rId9" Type="http://schemas.openxmlformats.org/officeDocument/2006/relationships/hyperlink" Target="https://www.youtube.com/watch?v=TEfNgkCJWqA&amp;list=PLRxv9if3THyn-iCYbH1crIvS_0SVhBpYv&amp;t=0s&amp;index=10" TargetMode="External"/><Relationship Id="rId13" Type="http://schemas.openxmlformats.org/officeDocument/2006/relationships/hyperlink" Target="https://www.youtube.com/watch?v=lHGyEDEm8Mk" TargetMode="External"/><Relationship Id="rId18" Type="http://schemas.openxmlformats.org/officeDocument/2006/relationships/hyperlink" Target="https://www.youtube.com/watch?v=jKwKf-Thz80" TargetMode="External"/><Relationship Id="rId39" Type="http://schemas.openxmlformats.org/officeDocument/2006/relationships/hyperlink" Target="https://www.youtube.com/watch?v=QynSbJ5I6to" TargetMode="External"/><Relationship Id="rId109" Type="http://schemas.openxmlformats.org/officeDocument/2006/relationships/hyperlink" Target="https://youtu.be/VMfL2VYmrKo" TargetMode="External"/><Relationship Id="rId34" Type="http://schemas.openxmlformats.org/officeDocument/2006/relationships/hyperlink" Target="https://www.youtube.com/watch?v=3x2l_O_BCHI&amp;t=307s" TargetMode="External"/><Relationship Id="rId50" Type="http://schemas.openxmlformats.org/officeDocument/2006/relationships/hyperlink" Target="https://youtu.be/D9ATO0-o8CE" TargetMode="External"/><Relationship Id="rId55" Type="http://schemas.openxmlformats.org/officeDocument/2006/relationships/hyperlink" Target="https://www.youtube.com/watch?v=eyPjyk-YII4&amp;list=PLRxv9if3THyn-iCYbH1crIvS_0SVhBpYv&amp;index=13&amp;t=0s" TargetMode="External"/><Relationship Id="rId76" Type="http://schemas.openxmlformats.org/officeDocument/2006/relationships/hyperlink" Target="https://youtu.be/ZTRVZBiFUFE" TargetMode="External"/><Relationship Id="rId97" Type="http://schemas.openxmlformats.org/officeDocument/2006/relationships/hyperlink" Target="https://youtu.be/PxMtMVricV8" TargetMode="External"/><Relationship Id="rId104" Type="http://schemas.openxmlformats.org/officeDocument/2006/relationships/hyperlink" Target="https://youtu.be/xH-yp4C8EFs" TargetMode="External"/><Relationship Id="rId120" Type="http://schemas.openxmlformats.org/officeDocument/2006/relationships/hyperlink" Target="https://youtube.com/live/Z_btnywO8yU" TargetMode="External"/><Relationship Id="rId125" Type="http://schemas.openxmlformats.org/officeDocument/2006/relationships/hyperlink" Target="https://www.youtube.com/watch?v=XcHKifZpDw0&amp;list=PL45872A31E6FECBD0&amp;index=6" TargetMode="External"/><Relationship Id="rId141" Type="http://schemas.openxmlformats.org/officeDocument/2006/relationships/hyperlink" Target="https://youtu.be/a3IaKmac30g?si=A-B7euj2-OfErYeA" TargetMode="External"/><Relationship Id="rId146" Type="http://schemas.openxmlformats.org/officeDocument/2006/relationships/hyperlink" Target="https://youtu.be/Rztqsshmsj4?si=9DVRo-F_2wcVSA59" TargetMode="External"/><Relationship Id="rId7" Type="http://schemas.openxmlformats.org/officeDocument/2006/relationships/hyperlink" Target="https://www.youtube.com/watch?v=0YVqEm7CIUU&amp;list=PLRxv9if3THyn-iCYbH1crIvS_0SVhBpYv&amp;t=0s&amp;index=8" TargetMode="External"/><Relationship Id="rId71" Type="http://schemas.openxmlformats.org/officeDocument/2006/relationships/hyperlink" Target="https://youtu.be/qV34IcglEEk" TargetMode="External"/><Relationship Id="rId92" Type="http://schemas.openxmlformats.org/officeDocument/2006/relationships/hyperlink" Target="mailto:dan.strubel@siemens.com?subject=RE:%20SINUMERIK%20content%20manager" TargetMode="External"/><Relationship Id="rId2" Type="http://schemas.openxmlformats.org/officeDocument/2006/relationships/hyperlink" Target="https://www.youtube.com/watch?v=eyk1b6o3Dhc" TargetMode="External"/><Relationship Id="rId29" Type="http://schemas.openxmlformats.org/officeDocument/2006/relationships/hyperlink" Target="https://www.youtube.com/watch?v=Z4j6CPqzKJc" TargetMode="External"/><Relationship Id="rId24" Type="http://schemas.openxmlformats.org/officeDocument/2006/relationships/hyperlink" Target="https://www.youtube.com/watch?v=MukZYvlzdsI&amp;t=2s" TargetMode="External"/><Relationship Id="rId40" Type="http://schemas.openxmlformats.org/officeDocument/2006/relationships/hyperlink" Target="https://www.youtube.com/watch?v=DhDqM75nMsM" TargetMode="External"/><Relationship Id="rId45" Type="http://schemas.openxmlformats.org/officeDocument/2006/relationships/hyperlink" Target="https://youtu.be/EeWEqwezgH0" TargetMode="External"/><Relationship Id="rId66" Type="http://schemas.openxmlformats.org/officeDocument/2006/relationships/hyperlink" Target="https://youtu.be/lZnkFvUAP0I" TargetMode="External"/><Relationship Id="rId87" Type="http://schemas.openxmlformats.org/officeDocument/2006/relationships/hyperlink" Target="https://youtu.be/PqrE0IloDc8" TargetMode="External"/><Relationship Id="rId110" Type="http://schemas.openxmlformats.org/officeDocument/2006/relationships/hyperlink" Target="https://youtu.be/TWcvvwJk7WA" TargetMode="External"/><Relationship Id="rId115" Type="http://schemas.openxmlformats.org/officeDocument/2006/relationships/hyperlink" Target="https://youtu.be/hcwRYO3Qbqo" TargetMode="External"/><Relationship Id="rId131" Type="http://schemas.openxmlformats.org/officeDocument/2006/relationships/hyperlink" Target="https://www.youtube.com/watch?v=WCi7wNCaY2A" TargetMode="External"/><Relationship Id="rId136" Type="http://schemas.openxmlformats.org/officeDocument/2006/relationships/hyperlink" Target="https://youtu.be/Z_0AEbLBvOg" TargetMode="External"/><Relationship Id="rId157" Type="http://schemas.openxmlformats.org/officeDocument/2006/relationships/hyperlink" Target="https://youtu.be/Q0GnZIkgZj8" TargetMode="External"/><Relationship Id="rId61" Type="http://schemas.openxmlformats.org/officeDocument/2006/relationships/hyperlink" Target="https://youtu.be/VrPPhJZgWbQ" TargetMode="External"/><Relationship Id="rId82" Type="http://schemas.openxmlformats.org/officeDocument/2006/relationships/hyperlink" Target="https://youtu.be/CCfc9NIgGpw" TargetMode="External"/><Relationship Id="rId152" Type="http://schemas.openxmlformats.org/officeDocument/2006/relationships/hyperlink" Target="https://youtu.be/an_fHxYOe1o?si=Dv4PtI2qV_ctk5x0" TargetMode="External"/><Relationship Id="rId19" Type="http://schemas.openxmlformats.org/officeDocument/2006/relationships/hyperlink" Target="https://www.youtube.com/watch?v=nR7yCB4JZm0" TargetMode="External"/><Relationship Id="rId14" Type="http://schemas.openxmlformats.org/officeDocument/2006/relationships/hyperlink" Target="https://www.youtube.com/watch?v=WoKLYQqmZ4s&amp;t=4s" TargetMode="External"/><Relationship Id="rId30" Type="http://schemas.openxmlformats.org/officeDocument/2006/relationships/hyperlink" Target="https://www.youtube.com/watch?v=133evrFb9sc" TargetMode="External"/><Relationship Id="rId35" Type="http://schemas.openxmlformats.org/officeDocument/2006/relationships/hyperlink" Target="https://www.youtube.com/watch?v=u4a7RmRF5VA" TargetMode="External"/><Relationship Id="rId56" Type="http://schemas.openxmlformats.org/officeDocument/2006/relationships/hyperlink" Target="https://youtu.be/NkjGEce2oC8" TargetMode="External"/><Relationship Id="rId77" Type="http://schemas.openxmlformats.org/officeDocument/2006/relationships/hyperlink" Target="https://youtu.be/yIE15i1IqdU" TargetMode="External"/><Relationship Id="rId100" Type="http://schemas.openxmlformats.org/officeDocument/2006/relationships/hyperlink" Target="https://youtu.be/sW0VsxvoYjE" TargetMode="External"/><Relationship Id="rId105" Type="http://schemas.openxmlformats.org/officeDocument/2006/relationships/hyperlink" Target="https://youtu.be/DEAD4kfxiC0" TargetMode="External"/><Relationship Id="rId126" Type="http://schemas.openxmlformats.org/officeDocument/2006/relationships/hyperlink" Target="https://www.youtube.com/watch?v=CaE80ItqLVs&amp;list=PL45872A31E6FECBD0&amp;index=5" TargetMode="External"/><Relationship Id="rId147" Type="http://schemas.openxmlformats.org/officeDocument/2006/relationships/hyperlink" Target="https://youtu.be/v56Q08_Y_UU?si=DjIuEKOvxPdKgmZ_" TargetMode="External"/><Relationship Id="rId8" Type="http://schemas.openxmlformats.org/officeDocument/2006/relationships/hyperlink" Target="https://www.youtube.com/watch?v=oFt6kbIUiw8&amp;list=PLRxv9if3THyn-iCYbH1crIvS_0SVhBpYv&amp;t=0s&amp;index=9" TargetMode="External"/><Relationship Id="rId51" Type="http://schemas.openxmlformats.org/officeDocument/2006/relationships/hyperlink" Target="https://youtu.be/2LZ4ADsoD2s" TargetMode="External"/><Relationship Id="rId72" Type="http://schemas.openxmlformats.org/officeDocument/2006/relationships/hyperlink" Target="https://youtu.be/DKYWlbkDMBU" TargetMode="External"/><Relationship Id="rId93" Type="http://schemas.openxmlformats.org/officeDocument/2006/relationships/hyperlink" Target="http://usa.siemens.com/cnc4you" TargetMode="External"/><Relationship Id="rId98" Type="http://schemas.openxmlformats.org/officeDocument/2006/relationships/hyperlink" Target="https://youtu.be/pa6rWhU5e8A" TargetMode="External"/><Relationship Id="rId121" Type="http://schemas.openxmlformats.org/officeDocument/2006/relationships/hyperlink" Target="https://youtube.com/live/mImP359-cEI" TargetMode="External"/><Relationship Id="rId142" Type="http://schemas.openxmlformats.org/officeDocument/2006/relationships/hyperlink" Target="https://youtu.be/zUWI0goNQls?si=7OLH5IWXnGKHQFGI" TargetMode="External"/><Relationship Id="rId3" Type="http://schemas.openxmlformats.org/officeDocument/2006/relationships/hyperlink" Target="https://www.youtube.com/watch?v=XGXqqJtFYNs&amp;list=PLRxv9if3THyn-iCYbH1crIvS_0SVhBpYv&amp;t=8s&amp;index=2" TargetMode="External"/><Relationship Id="rId25" Type="http://schemas.openxmlformats.org/officeDocument/2006/relationships/hyperlink" Target="https://www.youtube.com/watch?v=cxZzXnRKWOk" TargetMode="External"/><Relationship Id="rId46" Type="http://schemas.openxmlformats.org/officeDocument/2006/relationships/hyperlink" Target="https://youtu.be/q6gi-P8XLlI" TargetMode="External"/><Relationship Id="rId67" Type="http://schemas.openxmlformats.org/officeDocument/2006/relationships/hyperlink" Target="https://youtu.be/IVrxGgjuOho" TargetMode="External"/><Relationship Id="rId116" Type="http://schemas.openxmlformats.org/officeDocument/2006/relationships/hyperlink" Target="https://youtu.be/8jVr-W12ZRY" TargetMode="External"/><Relationship Id="rId137" Type="http://schemas.openxmlformats.org/officeDocument/2006/relationships/hyperlink" Target="https://youtu.be/hcwRYO3Qbqo" TargetMode="External"/><Relationship Id="rId158" Type="http://schemas.openxmlformats.org/officeDocument/2006/relationships/hyperlink" Target="https://www.youtube.com/live/KLQPbGoepAk?si=9EDyrkdim71p5j8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industry.siemens.com/cs/document/109801337/sinumerik-one-technologies?lc=en-us" TargetMode="External"/><Relationship Id="rId18" Type="http://schemas.openxmlformats.org/officeDocument/2006/relationships/hyperlink" Target="https://support.industry.siemens.com/cs/document/109804175/sinumerik-one-ncu-1740?lc=en-us" TargetMode="External"/><Relationship Id="rId26" Type="http://schemas.openxmlformats.org/officeDocument/2006/relationships/hyperlink" Target="https://support.industry.siemens.com/cs/document/108862708/sinumerik-simotion-sinamics-industrial-security?lc=en-us" TargetMode="External"/><Relationship Id="rId39" Type="http://schemas.openxmlformats.org/officeDocument/2006/relationships/hyperlink" Target="https://support.industry.siemens.com/cs/document/109792526/protect-mymachine-3d-twin-and-create-myvirtual-machine-3d-3d-machine-model?lc=en-us" TargetMode="External"/><Relationship Id="rId21" Type="http://schemas.openxmlformats.org/officeDocument/2006/relationships/hyperlink" Target="https://support.industry.siemens.com/cs/document/109777867/sinumerik-one-ppu-1740?lc=en-us" TargetMode="External"/><Relationship Id="rId34" Type="http://schemas.openxmlformats.org/officeDocument/2006/relationships/hyperlink" Target="https://support.industry.siemens.com/cs/document/109801350/installing-sinumerik-one-run-myvirtual-machine?lc=en-us" TargetMode="External"/><Relationship Id="rId42" Type="http://schemas.openxmlformats.org/officeDocument/2006/relationships/hyperlink" Target="https://support.industry.siemens.com/cs/document/109801300/sinumerik-one-nc-variables?lc=en-us" TargetMode="External"/><Relationship Id="rId47" Type="http://schemas.openxmlformats.org/officeDocument/2006/relationships/hyperlink" Target="https://support.industry.siemens.com/cs/document/109781722/sinamics-s120-safety-integrated-function-manual?lc=en-us" TargetMode="External"/><Relationship Id="rId50" Type="http://schemas.openxmlformats.org/officeDocument/2006/relationships/hyperlink" Target="https://support.industry.siemens.com/cs/document/109741625/sinumerik-828d-840d-sl-operating-and-programming-milling?lc=en-us" TargetMode="External"/><Relationship Id="rId55" Type="http://schemas.openxmlformats.org/officeDocument/2006/relationships/hyperlink" Target="https://support.industry.siemens.com/cs/document/109776631/catalog-nc-63-sinumerik-one-function-overview?lc=en-us" TargetMode="External"/><Relationship Id="rId63" Type="http://schemas.openxmlformats.org/officeDocument/2006/relationships/hyperlink" Target="https://support.industry.siemens.com/cs/document/109771822/sinamics-s120m-manual-distributed-drive-technology?lc=en-us" TargetMode="External"/><Relationship Id="rId68" Type="http://schemas.openxmlformats.org/officeDocument/2006/relationships/hyperlink" Target="https://support.industry.siemens.com/cs/document/109781807/sinamics-s120-s150?lc=en-us" TargetMode="External"/><Relationship Id="rId76" Type="http://schemas.openxmlformats.org/officeDocument/2006/relationships/hyperlink" Target="https://support.industry.siemens.com/cs/document/109779338/sinamics-technology-extension-dcdcconv-(dc-dc-converter)?lc=en-us" TargetMode="External"/><Relationship Id="rId7" Type="http://schemas.openxmlformats.org/officeDocument/2006/relationships/hyperlink" Target="https://support.industry.siemens.com/cs/document/109801331/sinumerik-one-measuring-cycles?lc=en-us" TargetMode="External"/><Relationship Id="rId71" Type="http://schemas.openxmlformats.org/officeDocument/2006/relationships/hyperlink" Target="https://support.industry.siemens.com/cs/document/109781721/sinamics-s120-function-manual-communication?lc=en-us" TargetMode="External"/><Relationship Id="rId2" Type="http://schemas.openxmlformats.org/officeDocument/2006/relationships/hyperlink" Target="https://support.industry.siemens.com/cs/document/109801302/sinumerik-one-turning?lc=en-us" TargetMode="External"/><Relationship Id="rId16" Type="http://schemas.openxmlformats.org/officeDocument/2006/relationships/hyperlink" Target="https://support.industry.siemens.com/cs/document/109801342/sinumerik-one-tools?lc=en-us" TargetMode="External"/><Relationship Id="rId29" Type="http://schemas.openxmlformats.org/officeDocument/2006/relationships/hyperlink" Target="https://support.industry.siemens.com/cs/document/109801348/sinumerik-one-creating-a-sinumerik-service-system?lc=en-us" TargetMode="External"/><Relationship Id="rId11" Type="http://schemas.openxmlformats.org/officeDocument/2006/relationships/hyperlink" Target="https://support.industry.siemens.com/cs/document/109801344/sinumerik-one-plc?lc=en-us" TargetMode="External"/><Relationship Id="rId24" Type="http://schemas.openxmlformats.org/officeDocument/2006/relationships/hyperlink" Target="https://support.industry.siemens.com/cs/document/109801012/sinumerik-one-create-myconfig-diff-expert-topo?lc=en-us" TargetMode="External"/><Relationship Id="rId32" Type="http://schemas.openxmlformats.org/officeDocument/2006/relationships/hyperlink" Target="https://support.industry.siemens.com/cs/document/109801360/sinumerik-access-mymachine-opc-ua?lc=en-us" TargetMode="External"/><Relationship Id="rId37" Type="http://schemas.openxmlformats.org/officeDocument/2006/relationships/hyperlink" Target="https://support.industry.siemens.com/cs/document/109801361/sinumerik-one-create-myvirtual-machine?lc=en-us" TargetMode="External"/><Relationship Id="rId40" Type="http://schemas.openxmlformats.org/officeDocument/2006/relationships/hyperlink" Target="https://support.industry.siemens.com/cs/document/109801301/sinumerik-create-run-myvirtual-machine-open-interface-valid-for-v1.2?lc=en-us" TargetMode="External"/><Relationship Id="rId45" Type="http://schemas.openxmlformats.org/officeDocument/2006/relationships/hyperlink" Target="https://support.industry.siemens.com/cs/document/109801192/sinumerik-operate-acceptance-test?lc=en-us" TargetMode="External"/><Relationship Id="rId53" Type="http://schemas.openxmlformats.org/officeDocument/2006/relationships/hyperlink" Target="https://support.industry.siemens.com/cs/document/109783147/milling-made-easy-with-shopmill?lc=en-us" TargetMode="External"/><Relationship Id="rId58" Type="http://schemas.openxmlformats.org/officeDocument/2006/relationships/hyperlink" Target="https://support.industry.siemens.com/cs/document/109782370/sinamics-s120-control-units-and-additional-system-components-?lc=en-us" TargetMode="External"/><Relationship Id="rId66" Type="http://schemas.openxmlformats.org/officeDocument/2006/relationships/hyperlink" Target="https://support.industry.siemens.com/cs/document/109760445/sinamics-s120-requirements-placed-on-third-party-motors?lc=en-us" TargetMode="External"/><Relationship Id="rId74" Type="http://schemas.openxmlformats.org/officeDocument/2006/relationships/hyperlink" Target="https://support.industry.siemens.com/cs/document/109758102/sinamics-technology-extension-vibx-(vibration-extinction)?lc=en-us" TargetMode="External"/><Relationship Id="rId79" Type="http://schemas.openxmlformats.org/officeDocument/2006/relationships/hyperlink" Target="https://support.industry.siemens.com/cs/document/109768483/sinumerik-one?lc=en-us" TargetMode="External"/><Relationship Id="rId5" Type="http://schemas.openxmlformats.org/officeDocument/2006/relationships/hyperlink" Target="https://support.industry.siemens.com/cs/document/109782751/sinumerik-access-mymachine-p2p-(pc)?lc=en-us" TargetMode="External"/><Relationship Id="rId61" Type="http://schemas.openxmlformats.org/officeDocument/2006/relationships/hyperlink" Target="https://support.industry.siemens.com/cs/document/109767635/sinamics-s120-combi?lc=en-us" TargetMode="External"/><Relationship Id="rId82" Type="http://schemas.openxmlformats.org/officeDocument/2006/relationships/drawing" Target="../drawings/drawing2.xml"/><Relationship Id="rId10" Type="http://schemas.openxmlformats.org/officeDocument/2006/relationships/hyperlink" Target="https://support.industry.siemens.com/cs/document/109801346/sinumerik-one-axes-and-spindles?lc=en-us" TargetMode="External"/><Relationship Id="rId19" Type="http://schemas.openxmlformats.org/officeDocument/2006/relationships/hyperlink" Target="https://support.industry.siemens.com/cs/document/109780351/sinumerik-one-ncu-1750?lc=en-us" TargetMode="External"/><Relationship Id="rId31" Type="http://schemas.openxmlformats.org/officeDocument/2006/relationships/hyperlink" Target="https://support.industry.siemens.com/cs/document/109782751/sinumerik-access-mymachine-p2p-(pc)?lc=en-us" TargetMode="External"/><Relationship Id="rId44" Type="http://schemas.openxmlformats.org/officeDocument/2006/relationships/hyperlink" Target="https://support.industry.siemens.com/cs/document/60612658/emc-design-guidelines-configuration-manual-01-2012?lc=en-us" TargetMode="External"/><Relationship Id="rId52" Type="http://schemas.openxmlformats.org/officeDocument/2006/relationships/hyperlink" Target="https://support.industry.siemens.com/cs/document/109783148/turning-made-easy-with-shopturn?lc=en-us" TargetMode="External"/><Relationship Id="rId60" Type="http://schemas.openxmlformats.org/officeDocument/2006/relationships/hyperlink" Target="https://support.industry.siemens.com/cs/document/109771795/sinamics-s120-ac-drive?lc=en-us" TargetMode="External"/><Relationship Id="rId65" Type="http://schemas.openxmlformats.org/officeDocument/2006/relationships/hyperlink" Target="https://support.industry.siemens.com/cs/document/109479610/sinamics-s120-high-frequency-drive?lc=en-us" TargetMode="External"/><Relationship Id="rId73" Type="http://schemas.openxmlformats.org/officeDocument/2006/relationships/hyperlink" Target="https://support.industry.siemens.com/cs/document/109758101/sinamics-technology-extension-polygon-master-value-dependent-characteristic-functionality?lc=en-us" TargetMode="External"/><Relationship Id="rId78" Type="http://schemas.openxmlformats.org/officeDocument/2006/relationships/hyperlink" Target="https://support.industry.siemens.com/cs/document/108464614/sinumerik-technical-documentation?lc=en-us" TargetMode="External"/><Relationship Id="rId81" Type="http://schemas.openxmlformats.org/officeDocument/2006/relationships/printerSettings" Target="../printerSettings/printerSettings2.bin"/><Relationship Id="rId4" Type="http://schemas.openxmlformats.org/officeDocument/2006/relationships/hyperlink" Target="https://support.industry.siemens.com/cs/document/109801322/sinumerik-one-grinding?lc=en-us" TargetMode="External"/><Relationship Id="rId9" Type="http://schemas.openxmlformats.org/officeDocument/2006/relationships/hyperlink" Target="https://support.industry.siemens.com/cs/document/109801339/sinumerik-one-basic-functions?lc=en-us" TargetMode="External"/><Relationship Id="rId14" Type="http://schemas.openxmlformats.org/officeDocument/2006/relationships/hyperlink" Target="https://support.industry.siemens.com/cs/document/109801200/sinumerik-840d-sl-transformations?lc=en-us" TargetMode="External"/><Relationship Id="rId22" Type="http://schemas.openxmlformats.org/officeDocument/2006/relationships/hyperlink" Target="https://support.industry.siemens.com/cs/document/109801341/sinumerik-one-works-steps-for-configuring-and-commissioning?lc=en-us" TargetMode="External"/><Relationship Id="rId27" Type="http://schemas.openxmlformats.org/officeDocument/2006/relationships/hyperlink" Target="https://support.industry.siemens.com/cs/document/109801347/sinumerik-one-new-installation-and-upgrade?lc=en-us" TargetMode="External"/><Relationship Id="rId30" Type="http://schemas.openxmlformats.org/officeDocument/2006/relationships/hyperlink" Target="https://support.industry.siemens.com/cs/document/109801357/sinumerik-one-sinumerik-integrate-run-myscreens?lc=en-us" TargetMode="External"/><Relationship Id="rId35" Type="http://schemas.openxmlformats.org/officeDocument/2006/relationships/hyperlink" Target="https://support.industry.siemens.com/cs/document/109801349/installing-sinumerik-one-cnc-sw?lc=en-us" TargetMode="External"/><Relationship Id="rId43" Type="http://schemas.openxmlformats.org/officeDocument/2006/relationships/hyperlink" Target="https://support.industry.siemens.com/cs/document/109801352/sinumerik-one-system-variables?lc=en-us" TargetMode="External"/><Relationship Id="rId48" Type="http://schemas.openxmlformats.org/officeDocument/2006/relationships/hyperlink" Target="https://support.industry.siemens.com/cs/document/109762882?lc=en-us" TargetMode="External"/><Relationship Id="rId56" Type="http://schemas.openxmlformats.org/officeDocument/2006/relationships/hyperlink" Target="https://mall.industry.siemens.com/mall/de/de/Catalog/Products/10361265" TargetMode="External"/><Relationship Id="rId64" Type="http://schemas.openxmlformats.org/officeDocument/2006/relationships/hyperlink" Target="https://support.industry.siemens.com/cs/document/109781723/sinamics-s120-hydraulic-drive?lc=en-us" TargetMode="External"/><Relationship Id="rId69" Type="http://schemas.openxmlformats.org/officeDocument/2006/relationships/hyperlink" Target="https://support.industry.siemens.com/cs/document/109754314/sinamics-s120-getting-started-with-starter?lc=en-us" TargetMode="External"/><Relationship Id="rId77" Type="http://schemas.openxmlformats.org/officeDocument/2006/relationships/hyperlink" Target="https://support.industry.siemens.com/cs/document/109762486/sinamics-technology-extension-rotdtec-(rotation-detection)?lc=en-us" TargetMode="External"/><Relationship Id="rId8" Type="http://schemas.openxmlformats.org/officeDocument/2006/relationships/hyperlink" Target="https://support.industry.siemens.com/cs/document/109801355/sinumerik-one-nc-programming?lc=en-us" TargetMode="External"/><Relationship Id="rId51" Type="http://schemas.openxmlformats.org/officeDocument/2006/relationships/hyperlink" Target="https://support.industry.siemens.com/cs/document/109741626/sinumerik-828d-840d-sl-operating-and-programming-turning?lc=en-us" TargetMode="External"/><Relationship Id="rId72" Type="http://schemas.openxmlformats.org/officeDocument/2006/relationships/hyperlink" Target="https://support.industry.siemens.com/cs/document/109760408/sinamics-technology-extension-installation-description?lc=en-us" TargetMode="External"/><Relationship Id="rId80" Type="http://schemas.openxmlformats.org/officeDocument/2006/relationships/hyperlink" Target="https://support.industry.siemens.com/cs/document/109798658/technical-documentation-for-sinumerik-one-version-6-15?dti=0&amp;lc=en-US" TargetMode="External"/><Relationship Id="rId3" Type="http://schemas.openxmlformats.org/officeDocument/2006/relationships/hyperlink" Target="https://support.industry.siemens.com/cs/document/109801317/sinumerik-one-milling?lc=en-us" TargetMode="External"/><Relationship Id="rId12" Type="http://schemas.openxmlformats.org/officeDocument/2006/relationships/hyperlink" Target="https://support.industry.siemens.com/cs/document/109801338/sinumerik-one-synchronized-actions?lc=en-us" TargetMode="External"/><Relationship Id="rId17" Type="http://schemas.openxmlformats.org/officeDocument/2006/relationships/hyperlink" Target="https://support.industry.siemens.com/cs/document/109801343/sinumerik-one-tool-management?lc=en-us" TargetMode="External"/><Relationship Id="rId25" Type="http://schemas.openxmlformats.org/officeDocument/2006/relationships/hyperlink" Target="https://support.industry.siemens.com/cs/document/109801363/sinumerik-one-migration?lc=en-us" TargetMode="External"/><Relationship Id="rId33" Type="http://schemas.openxmlformats.org/officeDocument/2006/relationships/hyperlink" Target="https://support.industry.siemens.com/cs/document/109801334/installing-sinumerik-one-cmvm?lc=en-us" TargetMode="External"/><Relationship Id="rId38" Type="http://schemas.openxmlformats.org/officeDocument/2006/relationships/hyperlink" Target="https://support.industry.siemens.com/cs/document/109801362/sinumerik-one-run-myvirtual-machine?lc=en-us" TargetMode="External"/><Relationship Id="rId46" Type="http://schemas.openxmlformats.org/officeDocument/2006/relationships/hyperlink" Target="https://support.industry.siemens.com/cs/document/109801335/sinumerik-one-safety-integrated?lc=en-us" TargetMode="External"/><Relationship Id="rId59" Type="http://schemas.openxmlformats.org/officeDocument/2006/relationships/hyperlink" Target="https://support.industry.siemens.com/cs/document/109781351/sinamics-s120-booksize-power-units?lc=en-us" TargetMode="External"/><Relationship Id="rId67" Type="http://schemas.openxmlformats.org/officeDocument/2006/relationships/hyperlink" Target="https://support.industry.siemens.com/cs/document/109754313/sinamics-s120-commissioning-manual-with-starter?lc=en-us" TargetMode="External"/><Relationship Id="rId20" Type="http://schemas.openxmlformats.org/officeDocument/2006/relationships/hyperlink" Target="https://support.industry.siemens.com/cs/document/109780352/sinumerik-one-ncu-1760?lc=en-us" TargetMode="External"/><Relationship Id="rId41" Type="http://schemas.openxmlformats.org/officeDocument/2006/relationships/hyperlink" Target="https://support.industry.siemens.com/cs/document/109801353/sinumerik-one-sinamics-s120-machine-data-and-parameters?lc=en-us" TargetMode="External"/><Relationship Id="rId54" Type="http://schemas.openxmlformats.org/officeDocument/2006/relationships/hyperlink" Target="https://support.industry.siemens.com/cs/document/109804606/sinumerik-one-with-sinumerik-operate-milling?lc=en-us" TargetMode="External"/><Relationship Id="rId62" Type="http://schemas.openxmlformats.org/officeDocument/2006/relationships/hyperlink" Target="https://support.industry.siemens.com/cs/document/109770194/sinamics-s120-air-cooled-chassis-power-units?lc=en-us" TargetMode="External"/><Relationship Id="rId70" Type="http://schemas.openxmlformats.org/officeDocument/2006/relationships/hyperlink" Target="https://support.industry.siemens.com/cs/document/109781535/sinamics-s120-function-manual-for-drive-functions?lc=en-us" TargetMode="External"/><Relationship Id="rId75" Type="http://schemas.openxmlformats.org/officeDocument/2006/relationships/hyperlink" Target="https://support.industry.siemens.com/cs/document/109779937/sinamics-technology-extension-servcoup-(servo-coupling)?lc=en-us" TargetMode="External"/><Relationship Id="rId1" Type="http://schemas.openxmlformats.org/officeDocument/2006/relationships/hyperlink" Target="https://support.industry.siemens.com/cs/document/109801320/sinumerik-one-universal?lc=en-us" TargetMode="External"/><Relationship Id="rId6" Type="http://schemas.openxmlformats.org/officeDocument/2006/relationships/hyperlink" Target="https://support.industry.siemens.com/cs/document/109801325/sinumerik-one-sinamics-s120-alarms?lc=en-us" TargetMode="External"/><Relationship Id="rId15" Type="http://schemas.openxmlformats.org/officeDocument/2006/relationships/hyperlink" Target="https://support.industry.siemens.com/cs/document/109801340/sinumerik-one-monitoring-and-compensating?lc=en-us" TargetMode="External"/><Relationship Id="rId23" Type="http://schemas.openxmlformats.org/officeDocument/2006/relationships/hyperlink" Target="https://support.industry.siemens.com/cs/document/109801333/sinumerik-one-final-commissioning-steps?lc=en-us" TargetMode="External"/><Relationship Id="rId28" Type="http://schemas.openxmlformats.org/officeDocument/2006/relationships/hyperlink" Target="https://support.industry.siemens.com/cs/document/109801332/sinumerik-one-pcu-base-for-ipc?lc=en-us" TargetMode="External"/><Relationship Id="rId36" Type="http://schemas.openxmlformats.org/officeDocument/2006/relationships/hyperlink" Target="https://support.industry.siemens.com/cs/document/109801354/-sinumerik-one-simdrive?lc=en-us" TargetMode="External"/><Relationship Id="rId49" Type="http://schemas.openxmlformats.org/officeDocument/2006/relationships/hyperlink" Target="https://support.industry.siemens.com/cs/document/109762409/milling-with-sinumerik-mold-making-with-3-to-5-axis-simultaneous-milling?lc=en-us" TargetMode="External"/><Relationship Id="rId57" Type="http://schemas.openxmlformats.org/officeDocument/2006/relationships/hyperlink" Target="https://support.industry.siemens.com/cs/document/109771801/sinamics-s120-booksize-c-d-type-power-units?lc=en-us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support.industry.siemens.com/cs/ww/en/view/109740024" TargetMode="External"/><Relationship Id="rId21" Type="http://schemas.openxmlformats.org/officeDocument/2006/relationships/hyperlink" Target="https://support.industry.siemens.com/cs/ww/en/view/109741627" TargetMode="External"/><Relationship Id="rId42" Type="http://schemas.openxmlformats.org/officeDocument/2006/relationships/hyperlink" Target="https://support.industry.siemens.com/cs/ww/en/view/109760818" TargetMode="External"/><Relationship Id="rId63" Type="http://schemas.openxmlformats.org/officeDocument/2006/relationships/hyperlink" Target="https://support.industry.siemens.com/cs/ww/en/view/109761937" TargetMode="External"/><Relationship Id="rId84" Type="http://schemas.openxmlformats.org/officeDocument/2006/relationships/hyperlink" Target="https://support.industry.siemens.com/cs/ww/en/view/109757622" TargetMode="External"/><Relationship Id="rId138" Type="http://schemas.openxmlformats.org/officeDocument/2006/relationships/hyperlink" Target="https://support.industry.siemens.com/cs/ww/en/view/19979721" TargetMode="External"/><Relationship Id="rId159" Type="http://schemas.openxmlformats.org/officeDocument/2006/relationships/hyperlink" Target="https://support.industry.siemens.com/cs/ww/en/view/103704621" TargetMode="External"/><Relationship Id="rId170" Type="http://schemas.openxmlformats.org/officeDocument/2006/relationships/hyperlink" Target="https://support.industry.siemens.com/cs/ww/en/view/109475767" TargetMode="External"/><Relationship Id="rId191" Type="http://schemas.openxmlformats.org/officeDocument/2006/relationships/hyperlink" Target="https://support.industry.siemens.com/cs/ww/en/view/109751819" TargetMode="External"/><Relationship Id="rId205" Type="http://schemas.openxmlformats.org/officeDocument/2006/relationships/hyperlink" Target="https://support.industry.siemens.com/cs/ww/en/view/109756665" TargetMode="External"/><Relationship Id="rId226" Type="http://schemas.openxmlformats.org/officeDocument/2006/relationships/drawing" Target="../drawings/drawing3.xml"/><Relationship Id="rId107" Type="http://schemas.openxmlformats.org/officeDocument/2006/relationships/hyperlink" Target="https://support.industry.siemens.com/cs/ww/en/view/109762633" TargetMode="External"/><Relationship Id="rId11" Type="http://schemas.openxmlformats.org/officeDocument/2006/relationships/hyperlink" Target="https://support.industry.siemens.com/cs/ww/en/view/109761928" TargetMode="External"/><Relationship Id="rId32" Type="http://schemas.openxmlformats.org/officeDocument/2006/relationships/hyperlink" Target="https://support.industry.siemens.com/cs/ww/en/view/109756681" TargetMode="External"/><Relationship Id="rId53" Type="http://schemas.openxmlformats.org/officeDocument/2006/relationships/hyperlink" Target="https://support.industry.siemens.com/cs/ww/en/view/109755671" TargetMode="External"/><Relationship Id="rId74" Type="http://schemas.openxmlformats.org/officeDocument/2006/relationships/hyperlink" Target="https://support.industry.siemens.com/cs/ww/en/view/109759974" TargetMode="External"/><Relationship Id="rId128" Type="http://schemas.openxmlformats.org/officeDocument/2006/relationships/hyperlink" Target="https://support.industry.siemens.com/cs/ww/en/view/109758102" TargetMode="External"/><Relationship Id="rId149" Type="http://schemas.openxmlformats.org/officeDocument/2006/relationships/hyperlink" Target="https://support.industry.siemens.com/cs/ww/en/view/109479725" TargetMode="External"/><Relationship Id="rId5" Type="http://schemas.openxmlformats.org/officeDocument/2006/relationships/hyperlink" Target="https://support.industry.siemens.com/cs/ww/en/view/28755255" TargetMode="External"/><Relationship Id="rId95" Type="http://schemas.openxmlformats.org/officeDocument/2006/relationships/hyperlink" Target="https://support.industry.siemens.com/cs/ww/en/view/109762013" TargetMode="External"/><Relationship Id="rId160" Type="http://schemas.openxmlformats.org/officeDocument/2006/relationships/hyperlink" Target="https://support.industry.siemens.com/cs/ww/en/view/109739268" TargetMode="External"/><Relationship Id="rId181" Type="http://schemas.openxmlformats.org/officeDocument/2006/relationships/hyperlink" Target="https://support.industry.siemens.com/cs/ww/en/view/109742105" TargetMode="External"/><Relationship Id="rId216" Type="http://schemas.openxmlformats.org/officeDocument/2006/relationships/hyperlink" Target="https://support.industry.siemens.com/cs/ww/en/view/108862708" TargetMode="External"/><Relationship Id="rId211" Type="http://schemas.openxmlformats.org/officeDocument/2006/relationships/hyperlink" Target="https://support.industry.siemens.com/cs/ww/en/view/1653427" TargetMode="External"/><Relationship Id="rId22" Type="http://schemas.openxmlformats.org/officeDocument/2006/relationships/hyperlink" Target="https://support.industry.siemens.com/cs/ww/en/view/109752353" TargetMode="External"/><Relationship Id="rId27" Type="http://schemas.openxmlformats.org/officeDocument/2006/relationships/hyperlink" Target="https://support.industry.siemens.com/cs/ww/en/view/53898693" TargetMode="External"/><Relationship Id="rId43" Type="http://schemas.openxmlformats.org/officeDocument/2006/relationships/hyperlink" Target="https://support.industry.siemens.com/cs/ww/en/view/109763245" TargetMode="External"/><Relationship Id="rId48" Type="http://schemas.openxmlformats.org/officeDocument/2006/relationships/hyperlink" Target="https://support.industry.siemens.com/cs/ww/en/view/109760797" TargetMode="External"/><Relationship Id="rId64" Type="http://schemas.openxmlformats.org/officeDocument/2006/relationships/hyperlink" Target="https://support.industry.siemens.com/cs/ww/en/view/109761933" TargetMode="External"/><Relationship Id="rId69" Type="http://schemas.openxmlformats.org/officeDocument/2006/relationships/hyperlink" Target="https://support.industry.siemens.com/cs/ww/en/view/109760806" TargetMode="External"/><Relationship Id="rId113" Type="http://schemas.openxmlformats.org/officeDocument/2006/relationships/hyperlink" Target="https://support.industry.siemens.com/cs/ww/en/view/109757057" TargetMode="External"/><Relationship Id="rId118" Type="http://schemas.openxmlformats.org/officeDocument/2006/relationships/hyperlink" Target="https://support.industry.siemens.com/cs/ww/en/view/109479610" TargetMode="External"/><Relationship Id="rId134" Type="http://schemas.openxmlformats.org/officeDocument/2006/relationships/hyperlink" Target="https://support.industry.siemens.com/cs/ww/en/view/57219323" TargetMode="External"/><Relationship Id="rId139" Type="http://schemas.openxmlformats.org/officeDocument/2006/relationships/hyperlink" Target="https://support.industry.siemens.com/cs/ww/en/view/28821017" TargetMode="External"/><Relationship Id="rId80" Type="http://schemas.openxmlformats.org/officeDocument/2006/relationships/hyperlink" Target="https://support.industry.siemens.com/cs/ww/en/view/109759976" TargetMode="External"/><Relationship Id="rId85" Type="http://schemas.openxmlformats.org/officeDocument/2006/relationships/hyperlink" Target="https://support.industry.siemens.com/cs/ww/en/view/109736195" TargetMode="External"/><Relationship Id="rId150" Type="http://schemas.openxmlformats.org/officeDocument/2006/relationships/hyperlink" Target="https://support.industry.siemens.com/cs/ww/en/view/109482538" TargetMode="External"/><Relationship Id="rId155" Type="http://schemas.openxmlformats.org/officeDocument/2006/relationships/hyperlink" Target="https://support.industry.siemens.com/cs/ww/en/view/33336121" TargetMode="External"/><Relationship Id="rId171" Type="http://schemas.openxmlformats.org/officeDocument/2006/relationships/hyperlink" Target="https://support.industry.siemens.com/cs/ww/en/view/44479809" TargetMode="External"/><Relationship Id="rId176" Type="http://schemas.openxmlformats.org/officeDocument/2006/relationships/hyperlink" Target="https://support.industry.siemens.com/cs/ww/en/view/59868944" TargetMode="External"/><Relationship Id="rId192" Type="http://schemas.openxmlformats.org/officeDocument/2006/relationships/hyperlink" Target="https://support.industry.siemens.com/cs/ww/en/view/109751814" TargetMode="External"/><Relationship Id="rId197" Type="http://schemas.openxmlformats.org/officeDocument/2006/relationships/hyperlink" Target="https://support.industry.siemens.com/cs/ww/en/view/12429336" TargetMode="External"/><Relationship Id="rId206" Type="http://schemas.openxmlformats.org/officeDocument/2006/relationships/hyperlink" Target="https://support.industry.siemens.com/cs/ww/en/view/31247475" TargetMode="External"/><Relationship Id="rId201" Type="http://schemas.openxmlformats.org/officeDocument/2006/relationships/hyperlink" Target="https://support.industry.siemens.com/cs/ww/en/view/25074283" TargetMode="External"/><Relationship Id="rId222" Type="http://schemas.openxmlformats.org/officeDocument/2006/relationships/hyperlink" Target="https://support.industry.siemens.com/cs/ww/en/view/58503317" TargetMode="External"/><Relationship Id="rId12" Type="http://schemas.openxmlformats.org/officeDocument/2006/relationships/hyperlink" Target="https://support.industry.siemens.com/cs/ww/en/view/109760800" TargetMode="External"/><Relationship Id="rId17" Type="http://schemas.openxmlformats.org/officeDocument/2006/relationships/hyperlink" Target="https://support.industry.siemens.com/cs/ww/en/view/109763247" TargetMode="External"/><Relationship Id="rId33" Type="http://schemas.openxmlformats.org/officeDocument/2006/relationships/hyperlink" Target="https://support.industry.siemens.com/cs/ww/en/view/60612658" TargetMode="External"/><Relationship Id="rId38" Type="http://schemas.openxmlformats.org/officeDocument/2006/relationships/hyperlink" Target="https://support.industry.siemens.com/cs/ww/en/view/109752357" TargetMode="External"/><Relationship Id="rId59" Type="http://schemas.openxmlformats.org/officeDocument/2006/relationships/hyperlink" Target="https://support.industry.siemens.com/cs/ww/en/view/109481517" TargetMode="External"/><Relationship Id="rId103" Type="http://schemas.openxmlformats.org/officeDocument/2006/relationships/hyperlink" Target="https://support.industry.siemens.com/cs/ww/en/view/109760655" TargetMode="External"/><Relationship Id="rId108" Type="http://schemas.openxmlformats.org/officeDocument/2006/relationships/hyperlink" Target="https://support.industry.siemens.com/cs/ww/en/view/109755732" TargetMode="External"/><Relationship Id="rId124" Type="http://schemas.openxmlformats.org/officeDocument/2006/relationships/hyperlink" Target="https://support.industry.siemens.com/cs/ww/en/view/109757573" TargetMode="External"/><Relationship Id="rId129" Type="http://schemas.openxmlformats.org/officeDocument/2006/relationships/hyperlink" Target="https://support.industry.siemens.com/cs/ww/en/view/109760362" TargetMode="External"/><Relationship Id="rId54" Type="http://schemas.openxmlformats.org/officeDocument/2006/relationships/hyperlink" Target="https://support.industry.siemens.com/cs/ww/en/view/109757622" TargetMode="External"/><Relationship Id="rId70" Type="http://schemas.openxmlformats.org/officeDocument/2006/relationships/hyperlink" Target="https://support.industry.siemens.com/cs/ww/en/view/109761936" TargetMode="External"/><Relationship Id="rId75" Type="http://schemas.openxmlformats.org/officeDocument/2006/relationships/hyperlink" Target="https://support.industry.siemens.com/cs/ww/en/view/109759979" TargetMode="External"/><Relationship Id="rId91" Type="http://schemas.openxmlformats.org/officeDocument/2006/relationships/hyperlink" Target="https://support.industry.siemens.com/cs/ww/en/view/109759302" TargetMode="External"/><Relationship Id="rId96" Type="http://schemas.openxmlformats.org/officeDocument/2006/relationships/hyperlink" Target="https://support.industry.siemens.com/cs/ww/en/view/109760652" TargetMode="External"/><Relationship Id="rId140" Type="http://schemas.openxmlformats.org/officeDocument/2006/relationships/hyperlink" Target="https://support.industry.siemens.com/cs/ww/en/view/28822402" TargetMode="External"/><Relationship Id="rId145" Type="http://schemas.openxmlformats.org/officeDocument/2006/relationships/hyperlink" Target="https://support.industry.siemens.com/cs/ww/en/view/28648174" TargetMode="External"/><Relationship Id="rId161" Type="http://schemas.openxmlformats.org/officeDocument/2006/relationships/hyperlink" Target="https://support.industry.siemens.com/cs/ww/en/view/109738144" TargetMode="External"/><Relationship Id="rId166" Type="http://schemas.openxmlformats.org/officeDocument/2006/relationships/hyperlink" Target="https://support.industry.siemens.com/cs/ww/en/view/30838844" TargetMode="External"/><Relationship Id="rId182" Type="http://schemas.openxmlformats.org/officeDocument/2006/relationships/hyperlink" Target="https://support.industry.siemens.com/cs/ww/en/view/69054198" TargetMode="External"/><Relationship Id="rId187" Type="http://schemas.openxmlformats.org/officeDocument/2006/relationships/hyperlink" Target="https://support.industry.siemens.com/cs/ww/en/view/45531551" TargetMode="External"/><Relationship Id="rId217" Type="http://schemas.openxmlformats.org/officeDocument/2006/relationships/hyperlink" Target="https://support.industry.siemens.com/cs/ww/en/view/109762409" TargetMode="External"/><Relationship Id="rId1" Type="http://schemas.openxmlformats.org/officeDocument/2006/relationships/hyperlink" Target="https://support.industry.siemens.com/cs/ww/en/view/109760808" TargetMode="External"/><Relationship Id="rId6" Type="http://schemas.openxmlformats.org/officeDocument/2006/relationships/hyperlink" Target="https://support.industry.siemens.com/cs/ww/en/view/109760826" TargetMode="External"/><Relationship Id="rId212" Type="http://schemas.openxmlformats.org/officeDocument/2006/relationships/hyperlink" Target="https://support.industry.siemens.com/cs/ww/en/view/23119005" TargetMode="External"/><Relationship Id="rId23" Type="http://schemas.openxmlformats.org/officeDocument/2006/relationships/hyperlink" Target="https://support.industry.siemens.com/cs/ww/en/view/109759203" TargetMode="External"/><Relationship Id="rId28" Type="http://schemas.openxmlformats.org/officeDocument/2006/relationships/hyperlink" Target="https://support.industry.siemens.com/cs/ww/en/view/47701211" TargetMode="External"/><Relationship Id="rId49" Type="http://schemas.openxmlformats.org/officeDocument/2006/relationships/hyperlink" Target="https://support.industry.siemens.com/cs/ww/en/view/109760799" TargetMode="External"/><Relationship Id="rId114" Type="http://schemas.openxmlformats.org/officeDocument/2006/relationships/hyperlink" Target="https://support.industry.siemens.com/cs/ww/en/view/109758785" TargetMode="External"/><Relationship Id="rId119" Type="http://schemas.openxmlformats.org/officeDocument/2006/relationships/hyperlink" Target="https://support.industry.siemens.com/cs/ww/en/view/29217967" TargetMode="External"/><Relationship Id="rId44" Type="http://schemas.openxmlformats.org/officeDocument/2006/relationships/hyperlink" Target="https://support.industry.siemens.com/cs/ww/en/view/109760821" TargetMode="External"/><Relationship Id="rId60" Type="http://schemas.openxmlformats.org/officeDocument/2006/relationships/hyperlink" Target="https://support.industry.siemens.com/cs/ww/en/view/109761929" TargetMode="External"/><Relationship Id="rId65" Type="http://schemas.openxmlformats.org/officeDocument/2006/relationships/hyperlink" Target="https://support.industry.siemens.com/cs/ww/en/view/109762484" TargetMode="External"/><Relationship Id="rId81" Type="http://schemas.openxmlformats.org/officeDocument/2006/relationships/hyperlink" Target="https://support.industry.siemens.com/cs/ww/en/view/79994958" TargetMode="External"/><Relationship Id="rId86" Type="http://schemas.openxmlformats.org/officeDocument/2006/relationships/hyperlink" Target="https://support.industry.siemens.com/cs/ww/en/view/109755671" TargetMode="External"/><Relationship Id="rId130" Type="http://schemas.openxmlformats.org/officeDocument/2006/relationships/hyperlink" Target="https://support.industry.siemens.com/cs/ww/en/view/109758103" TargetMode="External"/><Relationship Id="rId135" Type="http://schemas.openxmlformats.org/officeDocument/2006/relationships/hyperlink" Target="https://support.industry.siemens.com/cs/ww/en/view/57245645" TargetMode="External"/><Relationship Id="rId151" Type="http://schemas.openxmlformats.org/officeDocument/2006/relationships/hyperlink" Target="https://support.industry.siemens.com/cs/ww/en/view/99457853" TargetMode="External"/><Relationship Id="rId156" Type="http://schemas.openxmlformats.org/officeDocument/2006/relationships/hyperlink" Target="https://support.industry.siemens.com/cs/ww/en/view/28710470" TargetMode="External"/><Relationship Id="rId177" Type="http://schemas.openxmlformats.org/officeDocument/2006/relationships/hyperlink" Target="https://support.industry.siemens.com/cs/ww/en/view/34213504" TargetMode="External"/><Relationship Id="rId198" Type="http://schemas.openxmlformats.org/officeDocument/2006/relationships/hyperlink" Target="https://support.industry.siemens.com/cs/ww/en/view/1109582" TargetMode="External"/><Relationship Id="rId172" Type="http://schemas.openxmlformats.org/officeDocument/2006/relationships/hyperlink" Target="https://support.industry.siemens.com/cs/ww/en/view/109474362" TargetMode="External"/><Relationship Id="rId193" Type="http://schemas.openxmlformats.org/officeDocument/2006/relationships/hyperlink" Target="https://support.industry.siemens.com/cs/ww/en/view/44240604" TargetMode="External"/><Relationship Id="rId202" Type="http://schemas.openxmlformats.org/officeDocument/2006/relationships/hyperlink" Target="https://support.industry.siemens.com/cs/ww/en/view/77376110" TargetMode="External"/><Relationship Id="rId207" Type="http://schemas.openxmlformats.org/officeDocument/2006/relationships/hyperlink" Target="https://support.industry.siemens.com/cs/ww/en/view/61187980" TargetMode="External"/><Relationship Id="rId223" Type="http://schemas.openxmlformats.org/officeDocument/2006/relationships/hyperlink" Target="https://support.industry.siemens.com/cs/ww/en/view/58516034" TargetMode="External"/><Relationship Id="rId13" Type="http://schemas.openxmlformats.org/officeDocument/2006/relationships/hyperlink" Target="https://support.industry.siemens.com/cs/ww/en/view/109760802" TargetMode="External"/><Relationship Id="rId18" Type="http://schemas.openxmlformats.org/officeDocument/2006/relationships/hyperlink" Target="https://support.industry.siemens.com/cs/ww/en/view/109749929" TargetMode="External"/><Relationship Id="rId39" Type="http://schemas.openxmlformats.org/officeDocument/2006/relationships/hyperlink" Target="https://support.industry.siemens.com/cs/ww/en/view/109310641" TargetMode="External"/><Relationship Id="rId109" Type="http://schemas.openxmlformats.org/officeDocument/2006/relationships/hyperlink" Target="https://support.industry.siemens.com/cs/ww/en/view/109759396" TargetMode="External"/><Relationship Id="rId34" Type="http://schemas.openxmlformats.org/officeDocument/2006/relationships/hyperlink" Target="https://support.industry.siemens.com/cs/ww/en/view/109481517" TargetMode="External"/><Relationship Id="rId50" Type="http://schemas.openxmlformats.org/officeDocument/2006/relationships/hyperlink" Target="https://support.industry.siemens.com/cs/ww/en/view/109760807" TargetMode="External"/><Relationship Id="rId55" Type="http://schemas.openxmlformats.org/officeDocument/2006/relationships/hyperlink" Target="https://support.industry.siemens.com/cs/ww/en/view/109736195" TargetMode="External"/><Relationship Id="rId76" Type="http://schemas.openxmlformats.org/officeDocument/2006/relationships/hyperlink" Target="https://support.industry.siemens.com/cs/ww/en/view/109759975" TargetMode="External"/><Relationship Id="rId97" Type="http://schemas.openxmlformats.org/officeDocument/2006/relationships/hyperlink" Target="https://support.industry.siemens.com/cs/ww/en/view/109762630" TargetMode="External"/><Relationship Id="rId104" Type="http://schemas.openxmlformats.org/officeDocument/2006/relationships/hyperlink" Target="https://support.industry.siemens.com/cs/ww/en/view/109760653" TargetMode="External"/><Relationship Id="rId120" Type="http://schemas.openxmlformats.org/officeDocument/2006/relationships/hyperlink" Target="https://support.industry.siemens.com/cs/ww/en/view/109760445" TargetMode="External"/><Relationship Id="rId125" Type="http://schemas.openxmlformats.org/officeDocument/2006/relationships/hyperlink" Target="https://support.industry.siemens.com/cs/ww/en/view/109760403" TargetMode="External"/><Relationship Id="rId141" Type="http://schemas.openxmlformats.org/officeDocument/2006/relationships/hyperlink" Target="https://support.industry.siemens.com/cs/ww/en/view/55379345" TargetMode="External"/><Relationship Id="rId146" Type="http://schemas.openxmlformats.org/officeDocument/2006/relationships/hyperlink" Target="https://support.industry.siemens.com/cs/ww/en/view/96804323" TargetMode="External"/><Relationship Id="rId167" Type="http://schemas.openxmlformats.org/officeDocument/2006/relationships/hyperlink" Target="https://support.industry.siemens.com/cs/ww/en/view/49474988" TargetMode="External"/><Relationship Id="rId188" Type="http://schemas.openxmlformats.org/officeDocument/2006/relationships/hyperlink" Target="https://support.industry.siemens.com/cs/ww/en/view/109751825" TargetMode="External"/><Relationship Id="rId7" Type="http://schemas.openxmlformats.org/officeDocument/2006/relationships/hyperlink" Target="https://support.industry.siemens.com/cs/ww/en/view/109762366" TargetMode="External"/><Relationship Id="rId71" Type="http://schemas.openxmlformats.org/officeDocument/2006/relationships/hyperlink" Target="https://support.industry.siemens.com/cs/ww/en/view/109762883" TargetMode="External"/><Relationship Id="rId92" Type="http://schemas.openxmlformats.org/officeDocument/2006/relationships/hyperlink" Target="https://support.industry.siemens.com/cs/ww/en/view/109760810" TargetMode="External"/><Relationship Id="rId162" Type="http://schemas.openxmlformats.org/officeDocument/2006/relationships/hyperlink" Target="https://support.industry.siemens.com/cs/ww/en/view/36054991" TargetMode="External"/><Relationship Id="rId183" Type="http://schemas.openxmlformats.org/officeDocument/2006/relationships/hyperlink" Target="https://support.industry.siemens.com/cs/ww/en/view/109742106" TargetMode="External"/><Relationship Id="rId213" Type="http://schemas.openxmlformats.org/officeDocument/2006/relationships/hyperlink" Target="https://support.industry.siemens.com/cs/ww/en/view/109760608" TargetMode="External"/><Relationship Id="rId218" Type="http://schemas.openxmlformats.org/officeDocument/2006/relationships/hyperlink" Target="https://support.industry.siemens.com/cs/ww/en/view/104466659" TargetMode="External"/><Relationship Id="rId2" Type="http://schemas.openxmlformats.org/officeDocument/2006/relationships/hyperlink" Target="https://support.industry.siemens.com/cs/ww/en/view/109760805" TargetMode="External"/><Relationship Id="rId29" Type="http://schemas.openxmlformats.org/officeDocument/2006/relationships/hyperlink" Target="https://support.industry.siemens.com/cs/ww/en/view/109755240" TargetMode="External"/><Relationship Id="rId24" Type="http://schemas.openxmlformats.org/officeDocument/2006/relationships/hyperlink" Target="https://support.industry.siemens.com/cs/ww/en/view/109736205" TargetMode="External"/><Relationship Id="rId40" Type="http://schemas.openxmlformats.org/officeDocument/2006/relationships/hyperlink" Target="https://support.industry.siemens.com/cs/ww/en/view/28739466" TargetMode="External"/><Relationship Id="rId45" Type="http://schemas.openxmlformats.org/officeDocument/2006/relationships/hyperlink" Target="https://support.industry.siemens.com/cs/ww/en/view/109760772" TargetMode="External"/><Relationship Id="rId66" Type="http://schemas.openxmlformats.org/officeDocument/2006/relationships/hyperlink" Target="https://support.industry.siemens.com/cs/ww/en/view/109760797" TargetMode="External"/><Relationship Id="rId87" Type="http://schemas.openxmlformats.org/officeDocument/2006/relationships/hyperlink" Target="https://support.industry.siemens.com/cs/ww/en/view/109760403" TargetMode="External"/><Relationship Id="rId110" Type="http://schemas.openxmlformats.org/officeDocument/2006/relationships/hyperlink" Target="https://support.industry.siemens.com/cs/ww/en/view/109763283" TargetMode="External"/><Relationship Id="rId115" Type="http://schemas.openxmlformats.org/officeDocument/2006/relationships/hyperlink" Target="https://support.industry.siemens.com/cs/ww/en/view/109754207" TargetMode="External"/><Relationship Id="rId131" Type="http://schemas.openxmlformats.org/officeDocument/2006/relationships/hyperlink" Target="https://support.industry.siemens.com/cs/ww/en/view/109762486" TargetMode="External"/><Relationship Id="rId136" Type="http://schemas.openxmlformats.org/officeDocument/2006/relationships/hyperlink" Target="https://support.industry.siemens.com/cs/ww/en/view/57245364" TargetMode="External"/><Relationship Id="rId157" Type="http://schemas.openxmlformats.org/officeDocument/2006/relationships/hyperlink" Target="https://support.industry.siemens.com/cs/ww/en/view/28710238" TargetMode="External"/><Relationship Id="rId178" Type="http://schemas.openxmlformats.org/officeDocument/2006/relationships/hyperlink" Target="https://support.industry.siemens.com/cs/ww/en/view/61889287" TargetMode="External"/><Relationship Id="rId61" Type="http://schemas.openxmlformats.org/officeDocument/2006/relationships/hyperlink" Target="https://support.industry.siemens.com/cs/ww/en/view/109761885" TargetMode="External"/><Relationship Id="rId82" Type="http://schemas.openxmlformats.org/officeDocument/2006/relationships/hyperlink" Target="https://support.industry.siemens.com/cs/ww/en/view/109479062" TargetMode="External"/><Relationship Id="rId152" Type="http://schemas.openxmlformats.org/officeDocument/2006/relationships/hyperlink" Target="https://support.industry.siemens.com/cs/ww/en/view/109476098" TargetMode="External"/><Relationship Id="rId173" Type="http://schemas.openxmlformats.org/officeDocument/2006/relationships/hyperlink" Target="https://support.industry.siemens.com/cs/ww/en/view/49202670" TargetMode="External"/><Relationship Id="rId194" Type="http://schemas.openxmlformats.org/officeDocument/2006/relationships/hyperlink" Target="https://support.industry.siemens.com/cs/ww/en/view/12996906" TargetMode="External"/><Relationship Id="rId199" Type="http://schemas.openxmlformats.org/officeDocument/2006/relationships/hyperlink" Target="https://support.industry.siemens.com/cs/ww/en/view/1109154" TargetMode="External"/><Relationship Id="rId203" Type="http://schemas.openxmlformats.org/officeDocument/2006/relationships/hyperlink" Target="https://support.industry.siemens.com/cs/ww/en/view/77378184" TargetMode="External"/><Relationship Id="rId208" Type="http://schemas.openxmlformats.org/officeDocument/2006/relationships/hyperlink" Target="https://support.industry.siemens.com/cs/ww/en/view/21896316" TargetMode="External"/><Relationship Id="rId19" Type="http://schemas.openxmlformats.org/officeDocument/2006/relationships/hyperlink" Target="https://support.industry.siemens.com/cs/ww/en/view/109759204" TargetMode="External"/><Relationship Id="rId224" Type="http://schemas.openxmlformats.org/officeDocument/2006/relationships/hyperlink" Target="https://support.industry.siemens.com/cs/ww/en/view/109759796" TargetMode="External"/><Relationship Id="rId14" Type="http://schemas.openxmlformats.org/officeDocument/2006/relationships/hyperlink" Target="https://support.industry.siemens.com/cs/ww/en/view/109760803" TargetMode="External"/><Relationship Id="rId30" Type="http://schemas.openxmlformats.org/officeDocument/2006/relationships/hyperlink" Target="https://support.industry.siemens.com/cs/ww/en/view/109759001" TargetMode="External"/><Relationship Id="rId35" Type="http://schemas.openxmlformats.org/officeDocument/2006/relationships/hyperlink" Target="https://support.industry.siemens.com/cs/ww/en/view/83178621" TargetMode="External"/><Relationship Id="rId56" Type="http://schemas.openxmlformats.org/officeDocument/2006/relationships/hyperlink" Target="https://support.industry.siemens.com/cs/ww/en/view/65371498" TargetMode="External"/><Relationship Id="rId77" Type="http://schemas.openxmlformats.org/officeDocument/2006/relationships/hyperlink" Target="https://support.industry.siemens.com/cs/ww/en/view/109759978" TargetMode="External"/><Relationship Id="rId100" Type="http://schemas.openxmlformats.org/officeDocument/2006/relationships/hyperlink" Target="https://support.industry.siemens.com/cs/ww/en/view/109747320" TargetMode="External"/><Relationship Id="rId105" Type="http://schemas.openxmlformats.org/officeDocument/2006/relationships/hyperlink" Target="https://support.industry.siemens.com/cs/ww/en/view/109760651" TargetMode="External"/><Relationship Id="rId126" Type="http://schemas.openxmlformats.org/officeDocument/2006/relationships/hyperlink" Target="https://support.industry.siemens.com/cs/ww/en/view/109760408" TargetMode="External"/><Relationship Id="rId147" Type="http://schemas.openxmlformats.org/officeDocument/2006/relationships/hyperlink" Target="https://support.industry.siemens.com/cs/ww/en/view/33092754" TargetMode="External"/><Relationship Id="rId168" Type="http://schemas.openxmlformats.org/officeDocument/2006/relationships/hyperlink" Target="https://support.industry.siemens.com/cs/ww/en/view/49474516" TargetMode="External"/><Relationship Id="rId8" Type="http://schemas.openxmlformats.org/officeDocument/2006/relationships/hyperlink" Target="https://support.industry.siemens.com/cs/ww/en/view/28739039" TargetMode="External"/><Relationship Id="rId51" Type="http://schemas.openxmlformats.org/officeDocument/2006/relationships/hyperlink" Target="https://support.industry.siemens.com/cs/ww/en/view/109760806" TargetMode="External"/><Relationship Id="rId72" Type="http://schemas.openxmlformats.org/officeDocument/2006/relationships/hyperlink" Target="https://support.industry.siemens.com/cs/ww/en/view/109759980" TargetMode="External"/><Relationship Id="rId93" Type="http://schemas.openxmlformats.org/officeDocument/2006/relationships/hyperlink" Target="https://support.industry.siemens.com/cs/ww/en/view/109760654" TargetMode="External"/><Relationship Id="rId98" Type="http://schemas.openxmlformats.org/officeDocument/2006/relationships/hyperlink" Target="https://support.industry.siemens.com/cs/ww/en/view/109762634" TargetMode="External"/><Relationship Id="rId121" Type="http://schemas.openxmlformats.org/officeDocument/2006/relationships/hyperlink" Target="https://support.industry.siemens.com/cs/ww/en/view/109754313" TargetMode="External"/><Relationship Id="rId142" Type="http://schemas.openxmlformats.org/officeDocument/2006/relationships/hyperlink" Target="https://support.industry.siemens.com/cs/ww/en/view/99457853" TargetMode="External"/><Relationship Id="rId163" Type="http://schemas.openxmlformats.org/officeDocument/2006/relationships/hyperlink" Target="https://support.industry.siemens.com/cs/ww/en/view/64359576" TargetMode="External"/><Relationship Id="rId184" Type="http://schemas.openxmlformats.org/officeDocument/2006/relationships/hyperlink" Target="https://support.industry.siemens.com/cs/ww/en/view/69048094" TargetMode="External"/><Relationship Id="rId189" Type="http://schemas.openxmlformats.org/officeDocument/2006/relationships/hyperlink" Target="https://support.industry.siemens.com/cs/ww/en/view/109751824" TargetMode="External"/><Relationship Id="rId219" Type="http://schemas.openxmlformats.org/officeDocument/2006/relationships/hyperlink" Target="https://support.industry.siemens.com/cs/de/de/view/109481838" TargetMode="External"/><Relationship Id="rId3" Type="http://schemas.openxmlformats.org/officeDocument/2006/relationships/hyperlink" Target="https://support.industry.siemens.com/cs/ww/en/view/109760804" TargetMode="External"/><Relationship Id="rId214" Type="http://schemas.openxmlformats.org/officeDocument/2006/relationships/hyperlink" Target="https://support.industry.siemens.com/cs/ww/en/view/109749572" TargetMode="External"/><Relationship Id="rId25" Type="http://schemas.openxmlformats.org/officeDocument/2006/relationships/hyperlink" Target="https://support.industry.siemens.com/cs/ww/en/view/109478729" TargetMode="External"/><Relationship Id="rId46" Type="http://schemas.openxmlformats.org/officeDocument/2006/relationships/hyperlink" Target="https://support.industry.siemens.com/cs/ww/en/view/109760776" TargetMode="External"/><Relationship Id="rId67" Type="http://schemas.openxmlformats.org/officeDocument/2006/relationships/hyperlink" Target="https://support.industry.siemens.com/cs/ww/en/view/109760799" TargetMode="External"/><Relationship Id="rId116" Type="http://schemas.openxmlformats.org/officeDocument/2006/relationships/hyperlink" Target="https://support.industry.siemens.com/cs/ww/en/view/109763295" TargetMode="External"/><Relationship Id="rId137" Type="http://schemas.openxmlformats.org/officeDocument/2006/relationships/hyperlink" Target="https://support.industry.siemens.com/cs/ww/en/view/57249405" TargetMode="External"/><Relationship Id="rId158" Type="http://schemas.openxmlformats.org/officeDocument/2006/relationships/hyperlink" Target="https://support.industry.siemens.com/cs/ww/en/view/28711786" TargetMode="External"/><Relationship Id="rId20" Type="http://schemas.openxmlformats.org/officeDocument/2006/relationships/hyperlink" Target="https://support.industry.siemens.com/cs/ww/en/view/109748600" TargetMode="External"/><Relationship Id="rId41" Type="http://schemas.openxmlformats.org/officeDocument/2006/relationships/hyperlink" Target="https://support.industry.siemens.com/cs/ww/en/view/28739651" TargetMode="External"/><Relationship Id="rId62" Type="http://schemas.openxmlformats.org/officeDocument/2006/relationships/hyperlink" Target="https://support.industry.siemens.com/cs/ww/en/view/109761934" TargetMode="External"/><Relationship Id="rId83" Type="http://schemas.openxmlformats.org/officeDocument/2006/relationships/hyperlink" Target="https://support.industry.siemens.com/cs/ww/en/view/109761936" TargetMode="External"/><Relationship Id="rId88" Type="http://schemas.openxmlformats.org/officeDocument/2006/relationships/hyperlink" Target="https://support.industry.siemens.com/cs/ww/en/view/109762877" TargetMode="External"/><Relationship Id="rId111" Type="http://schemas.openxmlformats.org/officeDocument/2006/relationships/hyperlink" Target="https://support.industry.siemens.com/cs/ww/en/view/109763286" TargetMode="External"/><Relationship Id="rId132" Type="http://schemas.openxmlformats.org/officeDocument/2006/relationships/hyperlink" Target="https://support.industry.siemens.com/cs/ww/en/view/57250336" TargetMode="External"/><Relationship Id="rId153" Type="http://schemas.openxmlformats.org/officeDocument/2006/relationships/hyperlink" Target="https://support.industry.siemens.com/cs/ww/en/view/44433003" TargetMode="External"/><Relationship Id="rId174" Type="http://schemas.openxmlformats.org/officeDocument/2006/relationships/hyperlink" Target="https://support.industry.siemens.com/cs/ww/en/view/49151330" TargetMode="External"/><Relationship Id="rId179" Type="http://schemas.openxmlformats.org/officeDocument/2006/relationships/hyperlink" Target="https://support.industry.siemens.com/cs/ww/en/view/60151497" TargetMode="External"/><Relationship Id="rId195" Type="http://schemas.openxmlformats.org/officeDocument/2006/relationships/hyperlink" Target="https://support.industry.siemens.com/cs/ww/en/view/8860591" TargetMode="External"/><Relationship Id="rId209" Type="http://schemas.openxmlformats.org/officeDocument/2006/relationships/hyperlink" Target="https://support.industry.siemens.com/cs/ww/en/view/102401328" TargetMode="External"/><Relationship Id="rId190" Type="http://schemas.openxmlformats.org/officeDocument/2006/relationships/hyperlink" Target="https://support.industry.siemens.com/cs/ww/en/view/109751823" TargetMode="External"/><Relationship Id="rId204" Type="http://schemas.openxmlformats.org/officeDocument/2006/relationships/hyperlink" Target="https://support.industry.siemens.com/cs/ww/en/view/8763736" TargetMode="External"/><Relationship Id="rId220" Type="http://schemas.openxmlformats.org/officeDocument/2006/relationships/hyperlink" Target="https://support.industry.siemens.com/cs/ww/en/view/109741625" TargetMode="External"/><Relationship Id="rId225" Type="http://schemas.openxmlformats.org/officeDocument/2006/relationships/printerSettings" Target="../printerSettings/printerSettings3.bin"/><Relationship Id="rId15" Type="http://schemas.openxmlformats.org/officeDocument/2006/relationships/hyperlink" Target="https://support.industry.siemens.com/cs/ww/en/view/66222132" TargetMode="External"/><Relationship Id="rId36" Type="http://schemas.openxmlformats.org/officeDocument/2006/relationships/hyperlink" Target="https://support.industry.siemens.com/cs/ww/en/view/103883144" TargetMode="External"/><Relationship Id="rId57" Type="http://schemas.openxmlformats.org/officeDocument/2006/relationships/hyperlink" Target="https://support.industry.siemens.com/cs/de/de/view/109762882" TargetMode="External"/><Relationship Id="rId106" Type="http://schemas.openxmlformats.org/officeDocument/2006/relationships/hyperlink" Target="https://support.industry.siemens.com/cs/ww/en/view/109762628" TargetMode="External"/><Relationship Id="rId127" Type="http://schemas.openxmlformats.org/officeDocument/2006/relationships/hyperlink" Target="https://support.industry.siemens.com/cs/ww/en/view/109758101" TargetMode="External"/><Relationship Id="rId10" Type="http://schemas.openxmlformats.org/officeDocument/2006/relationships/hyperlink" Target="https://support.industry.siemens.com/cs/ww/en/view/109760811" TargetMode="External"/><Relationship Id="rId31" Type="http://schemas.openxmlformats.org/officeDocument/2006/relationships/hyperlink" Target="https://support.industry.siemens.com/cs/ww/en/view/109756672" TargetMode="External"/><Relationship Id="rId52" Type="http://schemas.openxmlformats.org/officeDocument/2006/relationships/hyperlink" Target="https://support.industry.siemens.com/cs/ww/en/view/109760825" TargetMode="External"/><Relationship Id="rId73" Type="http://schemas.openxmlformats.org/officeDocument/2006/relationships/hyperlink" Target="https://support.industry.siemens.com/cs/ww/en/view/109759981" TargetMode="External"/><Relationship Id="rId78" Type="http://schemas.openxmlformats.org/officeDocument/2006/relationships/hyperlink" Target="https://support.industry.siemens.com/cs/ww/en/view/109759982" TargetMode="External"/><Relationship Id="rId94" Type="http://schemas.openxmlformats.org/officeDocument/2006/relationships/hyperlink" Target="https://support.industry.siemens.com/cs/ww/en/view/109752344" TargetMode="External"/><Relationship Id="rId99" Type="http://schemas.openxmlformats.org/officeDocument/2006/relationships/hyperlink" Target="https://support.industry.siemens.com/cs/ww/en/view/109759391" TargetMode="External"/><Relationship Id="rId101" Type="http://schemas.openxmlformats.org/officeDocument/2006/relationships/hyperlink" Target="https://support.industry.siemens.com/cs/ww/en/view/109759394" TargetMode="External"/><Relationship Id="rId122" Type="http://schemas.openxmlformats.org/officeDocument/2006/relationships/hyperlink" Target="https://support.industry.siemens.com/cs/ww/en/view/109760366" TargetMode="External"/><Relationship Id="rId143" Type="http://schemas.openxmlformats.org/officeDocument/2006/relationships/hyperlink" Target="https://support.industry.siemens.com/cs/ww/en/view/109743519" TargetMode="External"/><Relationship Id="rId148" Type="http://schemas.openxmlformats.org/officeDocument/2006/relationships/hyperlink" Target="https://support.industry.siemens.com/cs/ww/en/view/99457853" TargetMode="External"/><Relationship Id="rId164" Type="http://schemas.openxmlformats.org/officeDocument/2006/relationships/hyperlink" Target="https://support.industry.siemens.com/cs/ww/en/view/66627170" TargetMode="External"/><Relationship Id="rId169" Type="http://schemas.openxmlformats.org/officeDocument/2006/relationships/hyperlink" Target="https://support.industry.siemens.com/cs/ww/en/view/109745110" TargetMode="External"/><Relationship Id="rId185" Type="http://schemas.openxmlformats.org/officeDocument/2006/relationships/hyperlink" Target="https://support.industry.siemens.com/cs/ww/en/view/65222851" TargetMode="External"/><Relationship Id="rId4" Type="http://schemas.openxmlformats.org/officeDocument/2006/relationships/hyperlink" Target="https://support.industry.siemens.com/cs/ww/en/view/109760801" TargetMode="External"/><Relationship Id="rId9" Type="http://schemas.openxmlformats.org/officeDocument/2006/relationships/hyperlink" Target="https://support.industry.siemens.com/cs/ww/en/view/28739059" TargetMode="External"/><Relationship Id="rId180" Type="http://schemas.openxmlformats.org/officeDocument/2006/relationships/hyperlink" Target="https://support.industry.siemens.com/cs/ww/en/view/103909320" TargetMode="External"/><Relationship Id="rId210" Type="http://schemas.openxmlformats.org/officeDocument/2006/relationships/hyperlink" Target="https://support.industry.siemens.com/cs/ww/en/view/1652551" TargetMode="External"/><Relationship Id="rId215" Type="http://schemas.openxmlformats.org/officeDocument/2006/relationships/hyperlink" Target="https://support.industry.siemens.com/cs/ww/en/view/109747994" TargetMode="External"/><Relationship Id="rId26" Type="http://schemas.openxmlformats.org/officeDocument/2006/relationships/hyperlink" Target="https://support.industry.siemens.com/cs/ww/en/view/99922219" TargetMode="External"/><Relationship Id="rId47" Type="http://schemas.openxmlformats.org/officeDocument/2006/relationships/hyperlink" Target="https://support.industry.siemens.com/cs/ww/en/view/109761095" TargetMode="External"/><Relationship Id="rId68" Type="http://schemas.openxmlformats.org/officeDocument/2006/relationships/hyperlink" Target="https://support.industry.siemens.com/cs/ww/en/view/109760807" TargetMode="External"/><Relationship Id="rId89" Type="http://schemas.openxmlformats.org/officeDocument/2006/relationships/hyperlink" Target="https://support.industry.siemens.com/cs/ww/en/view/109763258" TargetMode="External"/><Relationship Id="rId112" Type="http://schemas.openxmlformats.org/officeDocument/2006/relationships/hyperlink" Target="https://support.industry.siemens.com/cs/ww/en/view/109763282" TargetMode="External"/><Relationship Id="rId133" Type="http://schemas.openxmlformats.org/officeDocument/2006/relationships/hyperlink" Target="https://support.industry.siemens.com/cs/ww/en/view/103472305" TargetMode="External"/><Relationship Id="rId154" Type="http://schemas.openxmlformats.org/officeDocument/2006/relationships/hyperlink" Target="https://support.industry.siemens.com/cs/ww/en/view/31412952" TargetMode="External"/><Relationship Id="rId175" Type="http://schemas.openxmlformats.org/officeDocument/2006/relationships/hyperlink" Target="https://support.industry.siemens.com/cs/ww/en/view/109475768" TargetMode="External"/><Relationship Id="rId196" Type="http://schemas.openxmlformats.org/officeDocument/2006/relationships/hyperlink" Target="https://support.industry.siemens.com/cs/ww/en/view/31977679" TargetMode="External"/><Relationship Id="rId200" Type="http://schemas.openxmlformats.org/officeDocument/2006/relationships/hyperlink" Target="https://support.industry.siemens.com/cs/ww/en/view/19292127" TargetMode="External"/><Relationship Id="rId16" Type="http://schemas.openxmlformats.org/officeDocument/2006/relationships/hyperlink" Target="https://support.industry.siemens.com/cs/ww/en/view/65711169" TargetMode="External"/><Relationship Id="rId221" Type="http://schemas.openxmlformats.org/officeDocument/2006/relationships/hyperlink" Target="https://support.industry.siemens.com/cs/ww/en/view/109741626" TargetMode="External"/><Relationship Id="rId37" Type="http://schemas.openxmlformats.org/officeDocument/2006/relationships/hyperlink" Target="https://support.industry.siemens.com/cs/ww/en/view/109760820" TargetMode="External"/><Relationship Id="rId58" Type="http://schemas.openxmlformats.org/officeDocument/2006/relationships/hyperlink" Target="https://support.industry.siemens.com/cs/ww/en/view/109763414" TargetMode="External"/><Relationship Id="rId79" Type="http://schemas.openxmlformats.org/officeDocument/2006/relationships/hyperlink" Target="https://support.industry.siemens.com/cs/ww/en/view/109759977" TargetMode="External"/><Relationship Id="rId102" Type="http://schemas.openxmlformats.org/officeDocument/2006/relationships/hyperlink" Target="https://support.industry.siemens.com/cs/ww/en/view/109760656" TargetMode="External"/><Relationship Id="rId123" Type="http://schemas.openxmlformats.org/officeDocument/2006/relationships/hyperlink" Target="https://support.industry.siemens.com/cs/ww/en/view/109754314" TargetMode="External"/><Relationship Id="rId144" Type="http://schemas.openxmlformats.org/officeDocument/2006/relationships/hyperlink" Target="https://support.industry.siemens.com/cs/ww/en/view/109758303" TargetMode="External"/><Relationship Id="rId90" Type="http://schemas.openxmlformats.org/officeDocument/2006/relationships/hyperlink" Target="https://support.industry.siemens.com/cs/ww/en/view/109756109" TargetMode="External"/><Relationship Id="rId165" Type="http://schemas.openxmlformats.org/officeDocument/2006/relationships/hyperlink" Target="https://support.industry.siemens.com/cs/ww/en/view/109744012" TargetMode="External"/><Relationship Id="rId186" Type="http://schemas.openxmlformats.org/officeDocument/2006/relationships/hyperlink" Target="https://support.industry.siemens.com/cs/ww/en/view/3970833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usa.siemens.com/cnc-training" TargetMode="External"/><Relationship Id="rId7" Type="http://schemas.openxmlformats.org/officeDocument/2006/relationships/hyperlink" Target="http://usa.siemens.com/cnc-leap" TargetMode="External"/><Relationship Id="rId2" Type="http://schemas.openxmlformats.org/officeDocument/2006/relationships/hyperlink" Target="http://usa.siemens.com/cnc4you" TargetMode="External"/><Relationship Id="rId1" Type="http://schemas.openxmlformats.org/officeDocument/2006/relationships/hyperlink" Target="http://usa.siemens.com/cnc-webinars" TargetMode="External"/><Relationship Id="rId6" Type="http://schemas.openxmlformats.org/officeDocument/2006/relationships/hyperlink" Target="http://usa.siemens.com/vpe" TargetMode="External"/><Relationship Id="rId5" Type="http://schemas.openxmlformats.org/officeDocument/2006/relationships/hyperlink" Target="http://usa.siemens.com/cnc-warranty" TargetMode="External"/><Relationship Id="rId4" Type="http://schemas.openxmlformats.org/officeDocument/2006/relationships/hyperlink" Target="http://usa.siemens.com/machine-registration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facebook.com/siemens.cnc.us" TargetMode="External"/><Relationship Id="rId3" Type="http://schemas.openxmlformats.org/officeDocument/2006/relationships/hyperlink" Target="http://twitter.com/siemens_cnc_us" TargetMode="External"/><Relationship Id="rId7" Type="http://schemas.openxmlformats.org/officeDocument/2006/relationships/hyperlink" Target="https://www.linkedin.com/in/-johnmeyer/" TargetMode="External"/><Relationship Id="rId2" Type="http://schemas.openxmlformats.org/officeDocument/2006/relationships/hyperlink" Target="https://youtube.com/mrcnc" TargetMode="External"/><Relationship Id="rId1" Type="http://schemas.openxmlformats.org/officeDocument/2006/relationships/hyperlink" Target="https://www.linkedin.com/in/chris-pollack/" TargetMode="External"/><Relationship Id="rId6" Type="http://schemas.openxmlformats.org/officeDocument/2006/relationships/hyperlink" Target="https://www.linkedin.com/in/steve-holmes-bb96a7b3/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www.linkedin.com/in/daniel-vitullo-128253104/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https://www.linkedin.com/in/daniel-strubel-12801a3a/" TargetMode="External"/><Relationship Id="rId9" Type="http://schemas.openxmlformats.org/officeDocument/2006/relationships/hyperlink" Target="https://www.youtube.com/playlist?list=PLw7lLwXw4H53XP8_KFCnwzfVzlVa7rAkQ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isitor.r20.constantcontact.com/manage/optin?v=001kgmOWTO5dMHK4jV0pooC_FSHXgTljQXBS1HcYcf-xeYpNakEvMPy-3xgP5Q0zxKaiwSOr3ZbGAG1UxiPPItAF8j_EYNcNzRW8WNp5d5S5vQ%3D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tel:+18008798079" TargetMode="External"/><Relationship Id="rId3" Type="http://schemas.openxmlformats.org/officeDocument/2006/relationships/hyperlink" Target="http://siemens.com/cnc4you" TargetMode="External"/><Relationship Id="rId7" Type="http://schemas.openxmlformats.org/officeDocument/2006/relationships/hyperlink" Target="https://support.industry.siemens.com/cs/start?lc=en-US" TargetMode="External"/><Relationship Id="rId12" Type="http://schemas.openxmlformats.org/officeDocument/2006/relationships/drawing" Target="../drawings/drawing7.xml"/><Relationship Id="rId2" Type="http://schemas.openxmlformats.org/officeDocument/2006/relationships/hyperlink" Target="https://play.google.com/store/apps/details?id=com.siemens.easycnc" TargetMode="External"/><Relationship Id="rId1" Type="http://schemas.openxmlformats.org/officeDocument/2006/relationships/hyperlink" Target="https://apps.apple.com/us/app/easy-cnc/id498326185" TargetMode="External"/><Relationship Id="rId6" Type="http://schemas.openxmlformats.org/officeDocument/2006/relationships/hyperlink" Target="http://usa.siemens.com/cnc-parts-repair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usa.siemens.com/cnc-service" TargetMode="External"/><Relationship Id="rId10" Type="http://schemas.openxmlformats.org/officeDocument/2006/relationships/hyperlink" Target="tel:+18008798079" TargetMode="External"/><Relationship Id="rId4" Type="http://schemas.openxmlformats.org/officeDocument/2006/relationships/hyperlink" Target="http://usa.siemens.com/cnc-downloads" TargetMode="External"/><Relationship Id="rId9" Type="http://schemas.openxmlformats.org/officeDocument/2006/relationships/hyperlink" Target="https://support.industry.siemens.com/cs/my?lc=en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600A-56FC-4165-8BAB-D62224416FCA}">
  <sheetPr>
    <tabColor rgb="FF32C7CE"/>
  </sheetPr>
  <dimension ref="A1:O166"/>
  <sheetViews>
    <sheetView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8.85546875" defaultRowHeight="15"/>
  <cols>
    <col min="1" max="1" width="6.7109375" style="1" customWidth="1"/>
    <col min="2" max="2" width="36.28515625" style="1" customWidth="1"/>
    <col min="3" max="5" width="29.7109375" style="1" customWidth="1"/>
    <col min="6" max="6" width="20.7109375" style="1" customWidth="1"/>
    <col min="7" max="7" width="3.7109375" style="1" customWidth="1"/>
    <col min="8" max="8" width="34.42578125" style="1" hidden="1" customWidth="1"/>
    <col min="9" max="10" width="25.42578125" style="1" hidden="1" customWidth="1"/>
    <col min="11" max="11" width="31.28515625" style="1" hidden="1" customWidth="1"/>
    <col min="12" max="13" width="9.140625" hidden="1" customWidth="1"/>
    <col min="14" max="14" width="9.140625" style="1" hidden="1" customWidth="1"/>
    <col min="15" max="15" width="33.140625" hidden="1" customWidth="1"/>
  </cols>
  <sheetData>
    <row r="1" spans="1:15" ht="32.25" customHeight="1"/>
    <row r="2" spans="1:15" ht="32.25" customHeight="1">
      <c r="B2" s="89" t="s">
        <v>382</v>
      </c>
      <c r="C2" s="89"/>
      <c r="D2" s="90"/>
      <c r="E2" s="8" t="s">
        <v>381</v>
      </c>
    </row>
    <row r="3" spans="1:15" ht="32.25" customHeight="1">
      <c r="B3" s="91" t="s">
        <v>480</v>
      </c>
      <c r="C3" s="89"/>
      <c r="D3" s="90"/>
      <c r="E3" s="8" t="s">
        <v>420</v>
      </c>
    </row>
    <row r="4" spans="1:15" ht="39.75" customHeight="1" thickBot="1">
      <c r="B4" s="86" t="s">
        <v>463</v>
      </c>
      <c r="C4" s="87"/>
      <c r="D4" s="88"/>
      <c r="E4" s="8" t="s">
        <v>421</v>
      </c>
    </row>
    <row r="5" spans="1:15" s="10" customFormat="1" ht="26.25" customHeight="1">
      <c r="A5" s="69"/>
      <c r="B5" s="70" t="s">
        <v>380</v>
      </c>
      <c r="C5" s="70" t="s">
        <v>0</v>
      </c>
      <c r="D5" s="70" t="s">
        <v>1</v>
      </c>
      <c r="E5" s="70" t="s">
        <v>3</v>
      </c>
      <c r="F5" s="71"/>
      <c r="G5" s="84"/>
      <c r="H5" s="10" t="s">
        <v>628</v>
      </c>
      <c r="I5" s="72"/>
      <c r="J5" s="72"/>
      <c r="K5" s="72"/>
      <c r="M5" s="10" t="s">
        <v>47</v>
      </c>
      <c r="N5" s="73" t="s">
        <v>48</v>
      </c>
    </row>
    <row r="6" spans="1:15" s="10" customFormat="1" ht="19.5" customHeight="1" thickBot="1">
      <c r="A6" s="73"/>
      <c r="B6" s="74" t="s">
        <v>42</v>
      </c>
      <c r="C6" s="74" t="s">
        <v>42</v>
      </c>
      <c r="D6" s="74" t="s">
        <v>42</v>
      </c>
      <c r="E6" s="74" t="s">
        <v>42</v>
      </c>
      <c r="F6" s="75"/>
      <c r="G6" s="84"/>
      <c r="H6" s="76" t="s">
        <v>379</v>
      </c>
      <c r="I6" s="72"/>
      <c r="J6" s="72"/>
      <c r="K6" s="72"/>
      <c r="N6" s="73"/>
      <c r="O6" s="10" t="s">
        <v>70</v>
      </c>
    </row>
    <row r="7" spans="1:15" s="10" customFormat="1" ht="21.75" customHeight="1" thickTop="1" thickBot="1">
      <c r="A7" s="73"/>
      <c r="B7" s="4"/>
      <c r="C7" s="4"/>
      <c r="D7" s="4"/>
      <c r="E7" s="4"/>
      <c r="F7" s="72"/>
      <c r="G7" s="72"/>
      <c r="H7" s="72"/>
      <c r="I7" s="72"/>
      <c r="J7" s="72"/>
      <c r="K7" s="72"/>
      <c r="N7" s="73"/>
    </row>
    <row r="8" spans="1:15" ht="20.25" customHeight="1" thickTop="1">
      <c r="B8" s="77"/>
      <c r="C8" s="77"/>
      <c r="D8" s="77"/>
      <c r="E8" s="77"/>
      <c r="F8" s="78" t="s">
        <v>2</v>
      </c>
      <c r="G8" s="77"/>
      <c r="H8" s="77"/>
      <c r="I8" s="77"/>
      <c r="J8" s="77"/>
      <c r="K8" s="77"/>
    </row>
    <row r="9" spans="1:15" ht="20.25" customHeight="1">
      <c r="B9" s="77"/>
      <c r="C9" s="77"/>
      <c r="D9" s="77"/>
      <c r="E9" s="77"/>
      <c r="F9" s="72"/>
      <c r="G9" s="77"/>
      <c r="H9" s="77"/>
      <c r="I9" s="77"/>
      <c r="J9" s="77"/>
      <c r="K9" s="77"/>
    </row>
    <row r="10" spans="1:15" ht="20.25" customHeight="1">
      <c r="A10" s="72" t="s">
        <v>107</v>
      </c>
      <c r="B10" s="85" t="s">
        <v>4</v>
      </c>
      <c r="C10" s="85"/>
      <c r="D10" s="85"/>
      <c r="E10" s="72" t="s">
        <v>9</v>
      </c>
      <c r="F10" s="72" t="s">
        <v>106</v>
      </c>
      <c r="G10" s="77"/>
      <c r="H10" s="72" t="s">
        <v>43</v>
      </c>
      <c r="I10" s="72" t="s">
        <v>0</v>
      </c>
      <c r="J10" s="72" t="s">
        <v>1</v>
      </c>
      <c r="K10" s="72" t="s">
        <v>3</v>
      </c>
    </row>
    <row r="11" spans="1:15">
      <c r="A11" s="1">
        <v>1</v>
      </c>
      <c r="B11" s="83" t="s">
        <v>7</v>
      </c>
      <c r="C11" s="83"/>
      <c r="D11" s="83"/>
      <c r="E11" s="6" t="s">
        <v>9</v>
      </c>
      <c r="F11" s="1" t="s">
        <v>72</v>
      </c>
      <c r="H11" s="1" t="s">
        <v>10</v>
      </c>
      <c r="I11" s="1" t="s">
        <v>5</v>
      </c>
      <c r="J11" s="1" t="s">
        <v>15</v>
      </c>
      <c r="K11" s="1" t="s">
        <v>6</v>
      </c>
      <c r="M11" t="b">
        <f>AND(ISNUMBER(SEARCH($B$7,$H11)),ISNUMBER(SEARCH($C$7,$I11)),ISNUMBER(SEARCH($D$7,$J11)),ISNUMBER(SEARCH($E$7,$K11)))</f>
        <v>1</v>
      </c>
      <c r="N11" s="1">
        <f t="shared" ref="N11:N42" si="0">--(AND(ISNUMBER(SEARCH($B$7,$H11)),ISNUMBER(SEARCH($C$7,$I11)),ISNUMBER(SEARCH($D$7,$J11)),ISNUMBER(SEARCH($E$7,$K11))))</f>
        <v>1</v>
      </c>
      <c r="O11" s="1" t="s">
        <v>43</v>
      </c>
    </row>
    <row r="12" spans="1:15">
      <c r="A12" s="1">
        <v>2</v>
      </c>
      <c r="B12" s="83" t="s">
        <v>8</v>
      </c>
      <c r="C12" s="83"/>
      <c r="D12" s="83"/>
      <c r="E12" s="6" t="s">
        <v>9</v>
      </c>
      <c r="F12" s="1" t="s">
        <v>73</v>
      </c>
      <c r="H12" s="1" t="s">
        <v>11</v>
      </c>
      <c r="I12" s="1" t="s">
        <v>5</v>
      </c>
      <c r="J12" s="1" t="s">
        <v>51</v>
      </c>
      <c r="K12" s="1" t="s">
        <v>6</v>
      </c>
      <c r="M12" t="b">
        <f t="shared" ref="M12:M42" si="1">AND(ISNUMBER(SEARCH($B$7,$H12)),ISNUMBER(SEARCH($C$7,$I12)),ISNUMBER(SEARCH($D$7,$J12)),ISNUMBER(SEARCH($E$7,$K12)))</f>
        <v>1</v>
      </c>
      <c r="N12" s="1">
        <f t="shared" si="0"/>
        <v>1</v>
      </c>
      <c r="O12" s="1" t="s">
        <v>10</v>
      </c>
    </row>
    <row r="13" spans="1:15">
      <c r="A13" s="1">
        <v>3</v>
      </c>
      <c r="B13" s="83" t="s">
        <v>14</v>
      </c>
      <c r="C13" s="83"/>
      <c r="D13" s="83"/>
      <c r="E13" s="6" t="s">
        <v>9</v>
      </c>
      <c r="F13" s="1" t="s">
        <v>74</v>
      </c>
      <c r="H13" s="1" t="s">
        <v>11</v>
      </c>
      <c r="I13" s="1" t="s">
        <v>5</v>
      </c>
      <c r="J13" s="1" t="s">
        <v>52</v>
      </c>
      <c r="K13" s="1" t="s">
        <v>384</v>
      </c>
      <c r="M13" t="b">
        <f t="shared" si="1"/>
        <v>1</v>
      </c>
      <c r="N13" s="1">
        <f t="shared" si="0"/>
        <v>1</v>
      </c>
      <c r="O13" s="1" t="s">
        <v>11</v>
      </c>
    </row>
    <row r="14" spans="1:15">
      <c r="A14" s="1">
        <v>4</v>
      </c>
      <c r="B14" s="83" t="s">
        <v>398</v>
      </c>
      <c r="C14" s="83"/>
      <c r="D14" s="83"/>
      <c r="E14" s="6" t="s">
        <v>9</v>
      </c>
      <c r="F14" s="1" t="s">
        <v>75</v>
      </c>
      <c r="H14" s="1" t="s">
        <v>12</v>
      </c>
      <c r="I14" s="1" t="s">
        <v>5</v>
      </c>
      <c r="J14" s="1" t="s">
        <v>15</v>
      </c>
      <c r="K14" s="1" t="s">
        <v>384</v>
      </c>
      <c r="M14" t="b">
        <f t="shared" si="1"/>
        <v>1</v>
      </c>
      <c r="N14" s="1">
        <f t="shared" si="0"/>
        <v>1</v>
      </c>
      <c r="O14" s="1" t="s">
        <v>12</v>
      </c>
    </row>
    <row r="15" spans="1:15">
      <c r="A15" s="1">
        <v>5</v>
      </c>
      <c r="B15" s="83" t="s">
        <v>399</v>
      </c>
      <c r="C15" s="83"/>
      <c r="D15" s="83"/>
      <c r="E15" s="6" t="s">
        <v>9</v>
      </c>
      <c r="F15" s="1" t="s">
        <v>76</v>
      </c>
      <c r="H15" s="1" t="s">
        <v>11</v>
      </c>
      <c r="I15" s="1" t="s">
        <v>5</v>
      </c>
      <c r="J15" s="1" t="s">
        <v>16</v>
      </c>
      <c r="K15" s="1" t="s">
        <v>384</v>
      </c>
      <c r="M15" t="b">
        <f t="shared" si="1"/>
        <v>1</v>
      </c>
      <c r="N15" s="1">
        <f t="shared" si="0"/>
        <v>1</v>
      </c>
      <c r="O15" s="1"/>
    </row>
    <row r="16" spans="1:15">
      <c r="A16" s="1">
        <v>6</v>
      </c>
      <c r="B16" s="83" t="s">
        <v>383</v>
      </c>
      <c r="C16" s="83"/>
      <c r="D16" s="83"/>
      <c r="E16" s="6" t="s">
        <v>9</v>
      </c>
      <c r="F16" s="1" t="s">
        <v>77</v>
      </c>
      <c r="H16" s="1" t="s">
        <v>11</v>
      </c>
      <c r="I16" s="1" t="s">
        <v>17</v>
      </c>
      <c r="J16" s="1" t="s">
        <v>18</v>
      </c>
      <c r="K16" s="1" t="s">
        <v>384</v>
      </c>
      <c r="M16" t="b">
        <f t="shared" si="1"/>
        <v>1</v>
      </c>
      <c r="N16" s="1">
        <f t="shared" si="0"/>
        <v>1</v>
      </c>
    </row>
    <row r="17" spans="1:15">
      <c r="A17" s="1">
        <v>7</v>
      </c>
      <c r="B17" s="83" t="s">
        <v>19</v>
      </c>
      <c r="C17" s="83"/>
      <c r="D17" s="83"/>
      <c r="E17" s="6" t="s">
        <v>9</v>
      </c>
      <c r="F17" s="1" t="s">
        <v>78</v>
      </c>
      <c r="H17" s="1" t="s">
        <v>49</v>
      </c>
      <c r="I17" s="1" t="s">
        <v>62</v>
      </c>
      <c r="J17" s="1" t="s">
        <v>20</v>
      </c>
      <c r="K17" s="1" t="s">
        <v>13</v>
      </c>
      <c r="M17" t="b">
        <f t="shared" si="1"/>
        <v>1</v>
      </c>
      <c r="N17" s="1">
        <f t="shared" si="0"/>
        <v>1</v>
      </c>
    </row>
    <row r="18" spans="1:15">
      <c r="A18" s="1">
        <v>8</v>
      </c>
      <c r="B18" s="83" t="s">
        <v>400</v>
      </c>
      <c r="C18" s="83"/>
      <c r="D18" s="83"/>
      <c r="E18" s="6" t="s">
        <v>9</v>
      </c>
      <c r="F18" s="1" t="s">
        <v>77</v>
      </c>
      <c r="H18" s="1" t="s">
        <v>11</v>
      </c>
      <c r="I18" s="1" t="s">
        <v>5</v>
      </c>
      <c r="J18" s="1" t="s">
        <v>16</v>
      </c>
      <c r="K18" s="1" t="s">
        <v>13</v>
      </c>
      <c r="M18" t="b">
        <f t="shared" si="1"/>
        <v>1</v>
      </c>
      <c r="N18" s="1">
        <f t="shared" si="0"/>
        <v>1</v>
      </c>
    </row>
    <row r="19" spans="1:15">
      <c r="A19" s="1">
        <v>9</v>
      </c>
      <c r="B19" s="83" t="s">
        <v>21</v>
      </c>
      <c r="C19" s="83"/>
      <c r="D19" s="83"/>
      <c r="E19" s="6" t="s">
        <v>9</v>
      </c>
      <c r="F19" s="1" t="s">
        <v>73</v>
      </c>
      <c r="H19" s="1" t="s">
        <v>10</v>
      </c>
      <c r="I19" s="1" t="s">
        <v>5</v>
      </c>
      <c r="J19" s="1" t="s">
        <v>22</v>
      </c>
      <c r="K19" s="1" t="s">
        <v>384</v>
      </c>
      <c r="M19" t="b">
        <f t="shared" si="1"/>
        <v>1</v>
      </c>
      <c r="N19" s="1">
        <f t="shared" si="0"/>
        <v>1</v>
      </c>
    </row>
    <row r="20" spans="1:15">
      <c r="A20" s="1">
        <v>10</v>
      </c>
      <c r="B20" s="83" t="s">
        <v>401</v>
      </c>
      <c r="C20" s="83"/>
      <c r="D20" s="83"/>
      <c r="E20" s="6" t="s">
        <v>9</v>
      </c>
      <c r="F20" s="1" t="s">
        <v>75</v>
      </c>
      <c r="H20" s="1" t="s">
        <v>10</v>
      </c>
      <c r="I20" s="1" t="s">
        <v>5</v>
      </c>
      <c r="J20" s="1" t="s">
        <v>15</v>
      </c>
      <c r="K20" s="1" t="s">
        <v>384</v>
      </c>
      <c r="M20" t="b">
        <f t="shared" si="1"/>
        <v>1</v>
      </c>
      <c r="N20" s="1">
        <f t="shared" si="0"/>
        <v>1</v>
      </c>
    </row>
    <row r="21" spans="1:15">
      <c r="A21" s="1">
        <v>11</v>
      </c>
      <c r="B21" s="83" t="s">
        <v>402</v>
      </c>
      <c r="C21" s="83"/>
      <c r="D21" s="83"/>
      <c r="E21" s="6" t="s">
        <v>9</v>
      </c>
      <c r="F21" s="1" t="s">
        <v>79</v>
      </c>
      <c r="H21" s="1" t="s">
        <v>10</v>
      </c>
      <c r="I21" s="1" t="s">
        <v>17</v>
      </c>
      <c r="J21" s="1" t="s">
        <v>15</v>
      </c>
      <c r="K21" s="1" t="s">
        <v>384</v>
      </c>
      <c r="M21" t="b">
        <f t="shared" si="1"/>
        <v>1</v>
      </c>
      <c r="N21" s="1">
        <f t="shared" si="0"/>
        <v>1</v>
      </c>
      <c r="O21" s="1" t="s">
        <v>0</v>
      </c>
    </row>
    <row r="22" spans="1:15">
      <c r="A22" s="1">
        <v>12</v>
      </c>
      <c r="B22" s="83" t="s">
        <v>403</v>
      </c>
      <c r="C22" s="83"/>
      <c r="D22" s="83"/>
      <c r="E22" s="6" t="s">
        <v>9</v>
      </c>
      <c r="F22" s="1" t="s">
        <v>80</v>
      </c>
      <c r="H22" s="1" t="s">
        <v>10</v>
      </c>
      <c r="I22" s="1" t="s">
        <v>5</v>
      </c>
      <c r="J22" s="1" t="s">
        <v>15</v>
      </c>
      <c r="K22" s="1" t="s">
        <v>384</v>
      </c>
      <c r="M22" t="b">
        <f t="shared" si="1"/>
        <v>1</v>
      </c>
      <c r="N22" s="1">
        <f t="shared" si="0"/>
        <v>1</v>
      </c>
      <c r="O22" s="1" t="s">
        <v>5</v>
      </c>
    </row>
    <row r="23" spans="1:15">
      <c r="A23" s="1">
        <v>13</v>
      </c>
      <c r="B23" s="83" t="s">
        <v>23</v>
      </c>
      <c r="C23" s="83"/>
      <c r="D23" s="83"/>
      <c r="E23" s="6" t="s">
        <v>9</v>
      </c>
      <c r="F23" s="1" t="s">
        <v>73</v>
      </c>
      <c r="H23" s="1" t="s">
        <v>12</v>
      </c>
      <c r="I23" s="1" t="s">
        <v>5</v>
      </c>
      <c r="J23" s="1" t="s">
        <v>18</v>
      </c>
      <c r="K23" s="1" t="s">
        <v>384</v>
      </c>
      <c r="M23" t="b">
        <f t="shared" si="1"/>
        <v>1</v>
      </c>
      <c r="N23" s="1">
        <f t="shared" si="0"/>
        <v>1</v>
      </c>
      <c r="O23" s="1" t="s">
        <v>17</v>
      </c>
    </row>
    <row r="24" spans="1:15">
      <c r="A24" s="1">
        <v>14</v>
      </c>
      <c r="B24" s="83" t="s">
        <v>24</v>
      </c>
      <c r="C24" s="83"/>
      <c r="D24" s="83"/>
      <c r="E24" s="6" t="s">
        <v>9</v>
      </c>
      <c r="F24" s="1" t="s">
        <v>81</v>
      </c>
      <c r="H24" s="1" t="s">
        <v>11</v>
      </c>
      <c r="I24" s="1" t="s">
        <v>5</v>
      </c>
      <c r="J24" s="1" t="s">
        <v>18</v>
      </c>
      <c r="K24" s="1" t="s">
        <v>384</v>
      </c>
      <c r="M24" t="b">
        <f t="shared" si="1"/>
        <v>1</v>
      </c>
      <c r="N24" s="1">
        <f t="shared" si="0"/>
        <v>1</v>
      </c>
      <c r="O24" s="1"/>
    </row>
    <row r="25" spans="1:15">
      <c r="A25" s="1">
        <v>15</v>
      </c>
      <c r="B25" s="83" t="s">
        <v>25</v>
      </c>
      <c r="C25" s="83"/>
      <c r="D25" s="83"/>
      <c r="E25" s="6" t="s">
        <v>9</v>
      </c>
      <c r="F25" s="1" t="s">
        <v>79</v>
      </c>
      <c r="H25" s="1" t="s">
        <v>10</v>
      </c>
      <c r="I25" s="1" t="s">
        <v>5</v>
      </c>
      <c r="J25" s="1" t="s">
        <v>18</v>
      </c>
      <c r="K25" s="1" t="s">
        <v>384</v>
      </c>
      <c r="M25" t="b">
        <f t="shared" si="1"/>
        <v>1</v>
      </c>
      <c r="N25" s="1">
        <f t="shared" si="0"/>
        <v>1</v>
      </c>
    </row>
    <row r="26" spans="1:15">
      <c r="A26" s="1">
        <v>16</v>
      </c>
      <c r="B26" s="83" t="s">
        <v>396</v>
      </c>
      <c r="C26" s="83"/>
      <c r="D26" s="83"/>
      <c r="E26" s="6" t="s">
        <v>9</v>
      </c>
      <c r="F26" s="1" t="s">
        <v>82</v>
      </c>
      <c r="H26" s="1" t="s">
        <v>10</v>
      </c>
      <c r="I26" s="1" t="s">
        <v>5</v>
      </c>
      <c r="J26" s="1" t="s">
        <v>18</v>
      </c>
      <c r="K26" s="1" t="s">
        <v>384</v>
      </c>
      <c r="M26" t="b">
        <f t="shared" si="1"/>
        <v>1</v>
      </c>
      <c r="N26" s="1">
        <f t="shared" si="0"/>
        <v>1</v>
      </c>
    </row>
    <row r="27" spans="1:15">
      <c r="A27" s="1">
        <v>17</v>
      </c>
      <c r="B27" s="83" t="s">
        <v>26</v>
      </c>
      <c r="C27" s="83"/>
      <c r="D27" s="83"/>
      <c r="E27" s="6" t="s">
        <v>9</v>
      </c>
      <c r="F27" s="1" t="s">
        <v>83</v>
      </c>
      <c r="H27" s="1" t="s">
        <v>10</v>
      </c>
      <c r="I27" s="1" t="s">
        <v>17</v>
      </c>
      <c r="J27" s="1" t="s">
        <v>18</v>
      </c>
      <c r="K27" s="1" t="s">
        <v>384</v>
      </c>
      <c r="M27" t="b">
        <f t="shared" si="1"/>
        <v>1</v>
      </c>
      <c r="N27" s="1">
        <f t="shared" si="0"/>
        <v>1</v>
      </c>
    </row>
    <row r="28" spans="1:15">
      <c r="A28" s="1">
        <v>18</v>
      </c>
      <c r="B28" s="83" t="s">
        <v>27</v>
      </c>
      <c r="C28" s="83"/>
      <c r="D28" s="83"/>
      <c r="E28" s="6" t="s">
        <v>9</v>
      </c>
      <c r="F28" s="1" t="s">
        <v>84</v>
      </c>
      <c r="H28" s="1" t="s">
        <v>12</v>
      </c>
      <c r="I28" s="1" t="s">
        <v>17</v>
      </c>
      <c r="J28" s="1" t="s">
        <v>18</v>
      </c>
      <c r="K28" s="1" t="s">
        <v>384</v>
      </c>
      <c r="M28" t="b">
        <f t="shared" si="1"/>
        <v>1</v>
      </c>
      <c r="N28" s="1">
        <f t="shared" si="0"/>
        <v>1</v>
      </c>
      <c r="O28" s="1" t="s">
        <v>1</v>
      </c>
    </row>
    <row r="29" spans="1:15">
      <c r="A29" s="1">
        <v>19</v>
      </c>
      <c r="B29" s="83" t="s">
        <v>28</v>
      </c>
      <c r="C29" s="83"/>
      <c r="D29" s="83"/>
      <c r="E29" s="6" t="s">
        <v>9</v>
      </c>
      <c r="F29" s="1" t="s">
        <v>85</v>
      </c>
      <c r="H29" s="1" t="s">
        <v>11</v>
      </c>
      <c r="I29" s="1" t="s">
        <v>17</v>
      </c>
      <c r="J29" s="1" t="s">
        <v>18</v>
      </c>
      <c r="K29" s="1" t="s">
        <v>384</v>
      </c>
      <c r="M29" t="b">
        <f t="shared" si="1"/>
        <v>1</v>
      </c>
      <c r="N29" s="1">
        <f t="shared" si="0"/>
        <v>1</v>
      </c>
      <c r="O29" s="1" t="s">
        <v>15</v>
      </c>
    </row>
    <row r="30" spans="1:15">
      <c r="A30" s="1">
        <v>20</v>
      </c>
      <c r="B30" s="83" t="s">
        <v>29</v>
      </c>
      <c r="C30" s="83"/>
      <c r="D30" s="83"/>
      <c r="E30" s="6" t="s">
        <v>9</v>
      </c>
      <c r="F30" s="1" t="s">
        <v>73</v>
      </c>
      <c r="H30" s="1" t="s">
        <v>11</v>
      </c>
      <c r="I30" s="1" t="s">
        <v>17</v>
      </c>
      <c r="J30" s="1" t="s">
        <v>18</v>
      </c>
      <c r="K30" s="1" t="s">
        <v>384</v>
      </c>
      <c r="M30" t="b">
        <f t="shared" si="1"/>
        <v>1</v>
      </c>
      <c r="N30" s="1">
        <f t="shared" si="0"/>
        <v>1</v>
      </c>
      <c r="O30" s="1" t="s">
        <v>18</v>
      </c>
    </row>
    <row r="31" spans="1:15">
      <c r="A31" s="1">
        <v>21</v>
      </c>
      <c r="B31" s="83" t="s">
        <v>397</v>
      </c>
      <c r="C31" s="83"/>
      <c r="D31" s="83"/>
      <c r="E31" s="6" t="s">
        <v>9</v>
      </c>
      <c r="F31" s="1" t="s">
        <v>86</v>
      </c>
      <c r="H31" s="1" t="s">
        <v>10</v>
      </c>
      <c r="I31" s="1" t="s">
        <v>17</v>
      </c>
      <c r="J31" s="1" t="s">
        <v>18</v>
      </c>
      <c r="K31" s="1" t="s">
        <v>384</v>
      </c>
      <c r="M31" t="b">
        <f t="shared" si="1"/>
        <v>1</v>
      </c>
      <c r="N31" s="1">
        <f t="shared" si="0"/>
        <v>1</v>
      </c>
      <c r="O31" s="1" t="s">
        <v>20</v>
      </c>
    </row>
    <row r="32" spans="1:15">
      <c r="A32" s="1">
        <v>22</v>
      </c>
      <c r="B32" s="83" t="s">
        <v>393</v>
      </c>
      <c r="C32" s="83"/>
      <c r="D32" s="83"/>
      <c r="E32" s="6" t="s">
        <v>9</v>
      </c>
      <c r="F32" s="1" t="s">
        <v>77</v>
      </c>
      <c r="H32" s="1" t="s">
        <v>50</v>
      </c>
      <c r="I32" s="1" t="s">
        <v>62</v>
      </c>
      <c r="J32" s="1" t="s">
        <v>16</v>
      </c>
      <c r="K32" s="1" t="s">
        <v>13</v>
      </c>
      <c r="M32" t="b">
        <f t="shared" si="1"/>
        <v>1</v>
      </c>
      <c r="N32" s="1">
        <f t="shared" si="0"/>
        <v>1</v>
      </c>
      <c r="O32" s="1" t="s">
        <v>44</v>
      </c>
    </row>
    <row r="33" spans="1:15">
      <c r="A33" s="1">
        <v>23</v>
      </c>
      <c r="B33" s="83" t="s">
        <v>394</v>
      </c>
      <c r="C33" s="83"/>
      <c r="D33" s="83"/>
      <c r="E33" s="6" t="s">
        <v>9</v>
      </c>
      <c r="F33" s="1" t="s">
        <v>87</v>
      </c>
      <c r="H33" s="1" t="s">
        <v>50</v>
      </c>
      <c r="I33" s="1" t="s">
        <v>62</v>
      </c>
      <c r="J33" s="1" t="s">
        <v>16</v>
      </c>
      <c r="K33" s="1" t="s">
        <v>13</v>
      </c>
      <c r="M33" t="b">
        <f t="shared" si="1"/>
        <v>1</v>
      </c>
      <c r="N33" s="1">
        <f t="shared" si="0"/>
        <v>1</v>
      </c>
      <c r="O33" s="1" t="s">
        <v>45</v>
      </c>
    </row>
    <row r="34" spans="1:15">
      <c r="A34" s="1">
        <v>24</v>
      </c>
      <c r="B34" s="83" t="s">
        <v>30</v>
      </c>
      <c r="C34" s="83"/>
      <c r="D34" s="83"/>
      <c r="E34" s="6" t="s">
        <v>9</v>
      </c>
      <c r="F34" s="1" t="s">
        <v>88</v>
      </c>
      <c r="H34" s="1" t="s">
        <v>10</v>
      </c>
      <c r="I34" s="1" t="s">
        <v>5</v>
      </c>
      <c r="J34" s="1" t="s">
        <v>53</v>
      </c>
      <c r="K34" s="1" t="s">
        <v>384</v>
      </c>
      <c r="M34" t="b">
        <f t="shared" si="1"/>
        <v>1</v>
      </c>
      <c r="N34" s="1">
        <f t="shared" si="0"/>
        <v>1</v>
      </c>
      <c r="O34" s="1" t="s">
        <v>126</v>
      </c>
    </row>
    <row r="35" spans="1:15">
      <c r="A35" s="1">
        <v>25</v>
      </c>
      <c r="B35" s="83" t="s">
        <v>404</v>
      </c>
      <c r="C35" s="83"/>
      <c r="D35" s="83"/>
      <c r="E35" s="6" t="s">
        <v>9</v>
      </c>
      <c r="F35" s="1" t="s">
        <v>79</v>
      </c>
      <c r="H35" s="1" t="s">
        <v>31</v>
      </c>
      <c r="I35" s="1" t="s">
        <v>62</v>
      </c>
      <c r="J35" s="1" t="s">
        <v>16</v>
      </c>
      <c r="K35" s="1" t="s">
        <v>384</v>
      </c>
      <c r="M35" t="b">
        <f t="shared" si="1"/>
        <v>1</v>
      </c>
      <c r="N35" s="1">
        <f t="shared" si="0"/>
        <v>1</v>
      </c>
    </row>
    <row r="36" spans="1:15">
      <c r="A36" s="1">
        <v>26</v>
      </c>
      <c r="B36" s="83" t="s">
        <v>32</v>
      </c>
      <c r="C36" s="83"/>
      <c r="D36" s="83"/>
      <c r="E36" s="6" t="s">
        <v>9</v>
      </c>
      <c r="F36" s="1" t="s">
        <v>89</v>
      </c>
      <c r="H36" s="1" t="s">
        <v>31</v>
      </c>
      <c r="I36" s="1" t="s">
        <v>62</v>
      </c>
      <c r="J36" s="1" t="s">
        <v>15</v>
      </c>
      <c r="K36" s="1" t="s">
        <v>34</v>
      </c>
      <c r="M36" t="b">
        <f t="shared" si="1"/>
        <v>1</v>
      </c>
      <c r="N36" s="1">
        <f t="shared" si="0"/>
        <v>1</v>
      </c>
      <c r="O36" s="1" t="s">
        <v>3</v>
      </c>
    </row>
    <row r="37" spans="1:15">
      <c r="A37" s="1">
        <v>27</v>
      </c>
      <c r="B37" s="83" t="s">
        <v>33</v>
      </c>
      <c r="C37" s="83"/>
      <c r="D37" s="83"/>
      <c r="E37" s="6" t="s">
        <v>9</v>
      </c>
      <c r="F37" s="1" t="s">
        <v>76</v>
      </c>
      <c r="H37" s="1" t="s">
        <v>10</v>
      </c>
      <c r="I37" s="1" t="s">
        <v>17</v>
      </c>
      <c r="J37" s="1" t="s">
        <v>15</v>
      </c>
      <c r="K37" s="1" t="s">
        <v>6</v>
      </c>
      <c r="M37" t="b">
        <f t="shared" si="1"/>
        <v>1</v>
      </c>
      <c r="N37" s="1">
        <f t="shared" si="0"/>
        <v>1</v>
      </c>
      <c r="O37" s="1" t="s">
        <v>385</v>
      </c>
    </row>
    <row r="38" spans="1:15">
      <c r="A38" s="1">
        <v>28</v>
      </c>
      <c r="B38" s="83" t="s">
        <v>35</v>
      </c>
      <c r="C38" s="83"/>
      <c r="D38" s="83"/>
      <c r="E38" s="6" t="s">
        <v>9</v>
      </c>
      <c r="F38" s="1" t="s">
        <v>90</v>
      </c>
      <c r="H38" s="1" t="s">
        <v>11</v>
      </c>
      <c r="I38" s="1" t="s">
        <v>5</v>
      </c>
      <c r="J38" s="1" t="s">
        <v>16</v>
      </c>
      <c r="K38" s="1" t="s">
        <v>384</v>
      </c>
      <c r="M38" t="b">
        <f t="shared" si="1"/>
        <v>1</v>
      </c>
      <c r="N38" s="1">
        <f t="shared" si="0"/>
        <v>1</v>
      </c>
      <c r="O38" s="1" t="s">
        <v>34</v>
      </c>
    </row>
    <row r="39" spans="1:15">
      <c r="A39" s="1">
        <v>29</v>
      </c>
      <c r="B39" s="83" t="s">
        <v>36</v>
      </c>
      <c r="C39" s="83"/>
      <c r="D39" s="83"/>
      <c r="E39" s="6" t="s">
        <v>9</v>
      </c>
      <c r="F39" s="1" t="s">
        <v>83</v>
      </c>
      <c r="H39" s="1" t="s">
        <v>12</v>
      </c>
      <c r="I39" s="1" t="s">
        <v>17</v>
      </c>
      <c r="J39" s="1" t="s">
        <v>18</v>
      </c>
      <c r="K39" s="1" t="s">
        <v>384</v>
      </c>
      <c r="M39" t="b">
        <f t="shared" si="1"/>
        <v>1</v>
      </c>
      <c r="N39" s="1">
        <f t="shared" si="0"/>
        <v>1</v>
      </c>
      <c r="O39" s="1" t="s">
        <v>46</v>
      </c>
    </row>
    <row r="40" spans="1:15">
      <c r="A40" s="1">
        <v>30</v>
      </c>
      <c r="B40" s="83" t="s">
        <v>405</v>
      </c>
      <c r="C40" s="83"/>
      <c r="D40" s="83"/>
      <c r="E40" s="6" t="s">
        <v>9</v>
      </c>
      <c r="F40" s="1" t="s">
        <v>75</v>
      </c>
      <c r="H40" s="1" t="s">
        <v>11</v>
      </c>
      <c r="I40" s="1" t="s">
        <v>5</v>
      </c>
      <c r="J40" s="1" t="s">
        <v>15</v>
      </c>
      <c r="K40" s="1" t="s">
        <v>384</v>
      </c>
      <c r="M40" t="b">
        <f t="shared" si="1"/>
        <v>1</v>
      </c>
      <c r="N40" s="1">
        <f t="shared" si="0"/>
        <v>1</v>
      </c>
      <c r="O40" s="1" t="s">
        <v>6</v>
      </c>
    </row>
    <row r="41" spans="1:15">
      <c r="A41" s="1">
        <v>31</v>
      </c>
      <c r="B41" s="83" t="s">
        <v>37</v>
      </c>
      <c r="C41" s="83"/>
      <c r="D41" s="83"/>
      <c r="E41" s="6" t="s">
        <v>9</v>
      </c>
      <c r="F41" s="1" t="s">
        <v>86</v>
      </c>
      <c r="H41" s="1" t="s">
        <v>11</v>
      </c>
      <c r="I41" s="1" t="s">
        <v>5</v>
      </c>
      <c r="J41" s="1" t="s">
        <v>18</v>
      </c>
      <c r="K41" s="1" t="s">
        <v>384</v>
      </c>
      <c r="M41" t="b">
        <f t="shared" si="1"/>
        <v>1</v>
      </c>
      <c r="N41" s="1">
        <f t="shared" si="0"/>
        <v>1</v>
      </c>
    </row>
    <row r="42" spans="1:15">
      <c r="A42" s="1">
        <v>32</v>
      </c>
      <c r="B42" s="83" t="s">
        <v>38</v>
      </c>
      <c r="C42" s="83"/>
      <c r="D42" s="83"/>
      <c r="E42" s="6" t="s">
        <v>9</v>
      </c>
      <c r="F42" s="1" t="s">
        <v>91</v>
      </c>
      <c r="H42" s="1" t="s">
        <v>11</v>
      </c>
      <c r="I42" s="1" t="s">
        <v>5</v>
      </c>
      <c r="J42" s="1" t="s">
        <v>18</v>
      </c>
      <c r="K42" s="1" t="s">
        <v>384</v>
      </c>
      <c r="M42" t="b">
        <f t="shared" si="1"/>
        <v>1</v>
      </c>
      <c r="N42" s="1">
        <f t="shared" si="0"/>
        <v>1</v>
      </c>
    </row>
    <row r="43" spans="1:15">
      <c r="A43" s="1">
        <v>33</v>
      </c>
      <c r="B43" s="83" t="s">
        <v>414</v>
      </c>
      <c r="C43" s="83"/>
      <c r="D43" s="83"/>
      <c r="E43" s="6" t="s">
        <v>9</v>
      </c>
      <c r="F43" s="1" t="s">
        <v>92</v>
      </c>
      <c r="H43" s="1" t="s">
        <v>10</v>
      </c>
      <c r="I43" s="1" t="s">
        <v>5</v>
      </c>
      <c r="J43" s="1" t="s">
        <v>18</v>
      </c>
      <c r="K43" s="1" t="s">
        <v>384</v>
      </c>
      <c r="M43" t="b">
        <f t="shared" ref="M43:M74" si="2">AND(ISNUMBER(SEARCH($B$7,$H43)),ISNUMBER(SEARCH($C$7,$I43)),ISNUMBER(SEARCH($D$7,$J43)),ISNUMBER(SEARCH($E$7,$K43)))</f>
        <v>1</v>
      </c>
      <c r="N43" s="1">
        <f t="shared" ref="N43:N74" si="3">--(AND(ISNUMBER(SEARCH($B$7,$H43)),ISNUMBER(SEARCH($C$7,$I43)),ISNUMBER(SEARCH($D$7,$J43)),ISNUMBER(SEARCH($E$7,$K43))))</f>
        <v>1</v>
      </c>
    </row>
    <row r="44" spans="1:15">
      <c r="A44" s="1">
        <v>34</v>
      </c>
      <c r="B44" s="83" t="s">
        <v>39</v>
      </c>
      <c r="C44" s="83"/>
      <c r="D44" s="83"/>
      <c r="E44" s="6" t="s">
        <v>9</v>
      </c>
      <c r="F44" s="1" t="s">
        <v>93</v>
      </c>
      <c r="H44" s="1" t="s">
        <v>10</v>
      </c>
      <c r="I44" s="1" t="s">
        <v>62</v>
      </c>
      <c r="J44" s="1" t="s">
        <v>366</v>
      </c>
      <c r="K44" s="1" t="s">
        <v>13</v>
      </c>
      <c r="M44" t="b">
        <f t="shared" si="2"/>
        <v>1</v>
      </c>
      <c r="N44" s="1">
        <f t="shared" si="3"/>
        <v>1</v>
      </c>
    </row>
    <row r="45" spans="1:15">
      <c r="A45" s="1">
        <v>35</v>
      </c>
      <c r="B45" s="83" t="s">
        <v>40</v>
      </c>
      <c r="C45" s="83"/>
      <c r="D45" s="83"/>
      <c r="E45" s="6" t="s">
        <v>9</v>
      </c>
      <c r="F45" s="1" t="s">
        <v>94</v>
      </c>
      <c r="H45" s="1" t="s">
        <v>11</v>
      </c>
      <c r="I45" s="1" t="s">
        <v>5</v>
      </c>
      <c r="J45" s="1" t="s">
        <v>53</v>
      </c>
      <c r="K45" s="1" t="s">
        <v>384</v>
      </c>
      <c r="M45" t="b">
        <f t="shared" si="2"/>
        <v>1</v>
      </c>
      <c r="N45" s="1">
        <f t="shared" si="3"/>
        <v>1</v>
      </c>
    </row>
    <row r="46" spans="1:15">
      <c r="A46" s="1">
        <v>36</v>
      </c>
      <c r="B46" s="83" t="s">
        <v>41</v>
      </c>
      <c r="C46" s="83"/>
      <c r="D46" s="83"/>
      <c r="E46" s="6" t="s">
        <v>9</v>
      </c>
      <c r="F46" s="1" t="s">
        <v>94</v>
      </c>
      <c r="H46" s="1" t="s">
        <v>50</v>
      </c>
      <c r="I46" s="1" t="s">
        <v>62</v>
      </c>
      <c r="J46" s="1" t="s">
        <v>20</v>
      </c>
      <c r="K46" s="1" t="s">
        <v>386</v>
      </c>
      <c r="M46" t="b">
        <f t="shared" si="2"/>
        <v>1</v>
      </c>
      <c r="N46" s="1">
        <f t="shared" si="3"/>
        <v>1</v>
      </c>
    </row>
    <row r="47" spans="1:15">
      <c r="A47" s="1">
        <v>37</v>
      </c>
      <c r="B47" s="83" t="s">
        <v>406</v>
      </c>
      <c r="C47" s="83"/>
      <c r="D47" s="83"/>
      <c r="E47" s="6" t="s">
        <v>9</v>
      </c>
      <c r="F47" s="1" t="s">
        <v>88</v>
      </c>
      <c r="H47" s="1" t="s">
        <v>11</v>
      </c>
      <c r="I47" s="1" t="s">
        <v>5</v>
      </c>
      <c r="J47" s="1" t="s">
        <v>53</v>
      </c>
      <c r="K47" s="1" t="s">
        <v>384</v>
      </c>
      <c r="M47" t="b">
        <f t="shared" si="2"/>
        <v>1</v>
      </c>
      <c r="N47" s="1">
        <f t="shared" si="3"/>
        <v>1</v>
      </c>
    </row>
    <row r="48" spans="1:15">
      <c r="A48" s="1">
        <v>38</v>
      </c>
      <c r="B48" s="83" t="s">
        <v>419</v>
      </c>
      <c r="C48" s="83"/>
      <c r="D48" s="83"/>
      <c r="E48" s="6" t="s">
        <v>9</v>
      </c>
      <c r="F48" s="1" t="s">
        <v>95</v>
      </c>
      <c r="H48" s="1" t="s">
        <v>50</v>
      </c>
      <c r="I48" s="1" t="s">
        <v>5</v>
      </c>
      <c r="J48" s="1" t="s">
        <v>18</v>
      </c>
      <c r="K48" s="1" t="s">
        <v>384</v>
      </c>
      <c r="M48" t="b">
        <f t="shared" si="2"/>
        <v>1</v>
      </c>
      <c r="N48" s="1">
        <f t="shared" si="3"/>
        <v>1</v>
      </c>
    </row>
    <row r="49" spans="1:14">
      <c r="A49" s="1">
        <v>39</v>
      </c>
      <c r="B49" s="83" t="s">
        <v>387</v>
      </c>
      <c r="C49" s="83"/>
      <c r="D49" s="83"/>
      <c r="E49" s="6" t="s">
        <v>9</v>
      </c>
      <c r="F49" s="1" t="s">
        <v>96</v>
      </c>
      <c r="H49" s="1" t="s">
        <v>49</v>
      </c>
      <c r="I49" s="1" t="s">
        <v>5</v>
      </c>
      <c r="J49" s="1" t="s">
        <v>54</v>
      </c>
      <c r="K49" s="1" t="s">
        <v>384</v>
      </c>
      <c r="M49" t="b">
        <f t="shared" si="2"/>
        <v>1</v>
      </c>
      <c r="N49" s="1">
        <f t="shared" si="3"/>
        <v>1</v>
      </c>
    </row>
    <row r="50" spans="1:14">
      <c r="A50" s="1">
        <v>40</v>
      </c>
      <c r="B50" s="83" t="s">
        <v>55</v>
      </c>
      <c r="C50" s="83"/>
      <c r="D50" s="83"/>
      <c r="E50" s="6" t="s">
        <v>9</v>
      </c>
      <c r="F50" s="1" t="s">
        <v>97</v>
      </c>
      <c r="H50" s="1" t="s">
        <v>49</v>
      </c>
      <c r="I50" s="1" t="s">
        <v>62</v>
      </c>
      <c r="J50" s="1" t="s">
        <v>16</v>
      </c>
      <c r="K50" s="1" t="s">
        <v>384</v>
      </c>
      <c r="M50" t="b">
        <f t="shared" si="2"/>
        <v>1</v>
      </c>
      <c r="N50" s="1">
        <f t="shared" si="3"/>
        <v>1</v>
      </c>
    </row>
    <row r="51" spans="1:14">
      <c r="A51" s="1">
        <v>41</v>
      </c>
      <c r="B51" s="83" t="s">
        <v>56</v>
      </c>
      <c r="C51" s="83"/>
      <c r="D51" s="83"/>
      <c r="E51" s="6" t="s">
        <v>9</v>
      </c>
      <c r="F51" s="1" t="s">
        <v>98</v>
      </c>
      <c r="H51" s="1" t="s">
        <v>49</v>
      </c>
      <c r="I51" s="1" t="s">
        <v>5</v>
      </c>
      <c r="J51" s="1" t="s">
        <v>54</v>
      </c>
      <c r="K51" s="1" t="s">
        <v>384</v>
      </c>
      <c r="M51" t="b">
        <f t="shared" si="2"/>
        <v>1</v>
      </c>
      <c r="N51" s="1">
        <f t="shared" si="3"/>
        <v>1</v>
      </c>
    </row>
    <row r="52" spans="1:14">
      <c r="A52" s="1">
        <v>42</v>
      </c>
      <c r="B52" s="83" t="s">
        <v>57</v>
      </c>
      <c r="C52" s="83"/>
      <c r="D52" s="83"/>
      <c r="E52" s="6" t="s">
        <v>9</v>
      </c>
      <c r="F52" s="1" t="s">
        <v>99</v>
      </c>
      <c r="H52" s="1" t="s">
        <v>49</v>
      </c>
      <c r="I52" s="1" t="s">
        <v>17</v>
      </c>
      <c r="J52" s="1" t="s">
        <v>18</v>
      </c>
      <c r="K52" s="1" t="s">
        <v>384</v>
      </c>
      <c r="M52" t="b">
        <f t="shared" si="2"/>
        <v>1</v>
      </c>
      <c r="N52" s="1">
        <f t="shared" si="3"/>
        <v>1</v>
      </c>
    </row>
    <row r="53" spans="1:14">
      <c r="A53" s="1">
        <v>43</v>
      </c>
      <c r="B53" s="83" t="s">
        <v>58</v>
      </c>
      <c r="C53" s="83"/>
      <c r="D53" s="83"/>
      <c r="E53" s="6" t="s">
        <v>9</v>
      </c>
      <c r="F53" s="1" t="s">
        <v>97</v>
      </c>
      <c r="H53" s="1" t="s">
        <v>49</v>
      </c>
      <c r="I53" s="1" t="s">
        <v>5</v>
      </c>
      <c r="J53" s="1" t="s">
        <v>18</v>
      </c>
      <c r="K53" s="1" t="s">
        <v>384</v>
      </c>
      <c r="M53" t="b">
        <f t="shared" si="2"/>
        <v>1</v>
      </c>
      <c r="N53" s="1">
        <f t="shared" si="3"/>
        <v>1</v>
      </c>
    </row>
    <row r="54" spans="1:14">
      <c r="A54" s="1">
        <v>44</v>
      </c>
      <c r="B54" s="83" t="s">
        <v>59</v>
      </c>
      <c r="C54" s="83"/>
      <c r="D54" s="83"/>
      <c r="E54" s="6" t="s">
        <v>9</v>
      </c>
      <c r="F54" s="1" t="s">
        <v>100</v>
      </c>
      <c r="H54" s="1" t="s">
        <v>49</v>
      </c>
      <c r="I54" s="1" t="s">
        <v>5</v>
      </c>
      <c r="J54" s="1" t="s">
        <v>15</v>
      </c>
      <c r="K54" s="1" t="s">
        <v>384</v>
      </c>
      <c r="M54" t="b">
        <f t="shared" si="2"/>
        <v>1</v>
      </c>
      <c r="N54" s="1">
        <f t="shared" si="3"/>
        <v>1</v>
      </c>
    </row>
    <row r="55" spans="1:14">
      <c r="A55" s="1">
        <v>45</v>
      </c>
      <c r="B55" s="83" t="s">
        <v>60</v>
      </c>
      <c r="C55" s="83"/>
      <c r="D55" s="83"/>
      <c r="E55" s="6" t="s">
        <v>9</v>
      </c>
      <c r="F55" s="1" t="s">
        <v>101</v>
      </c>
      <c r="H55" s="1" t="s">
        <v>49</v>
      </c>
      <c r="I55" s="1" t="s">
        <v>17</v>
      </c>
      <c r="J55" s="1" t="s">
        <v>16</v>
      </c>
      <c r="K55" s="1" t="s">
        <v>384</v>
      </c>
      <c r="M55" t="b">
        <f t="shared" si="2"/>
        <v>1</v>
      </c>
      <c r="N55" s="1">
        <f t="shared" si="3"/>
        <v>1</v>
      </c>
    </row>
    <row r="56" spans="1:14">
      <c r="A56" s="1">
        <v>46</v>
      </c>
      <c r="B56" s="83" t="s">
        <v>61</v>
      </c>
      <c r="C56" s="83"/>
      <c r="D56" s="83"/>
      <c r="E56" s="6" t="s">
        <v>9</v>
      </c>
      <c r="F56" s="1" t="s">
        <v>97</v>
      </c>
      <c r="H56" s="1" t="s">
        <v>49</v>
      </c>
      <c r="I56" s="1" t="s">
        <v>17</v>
      </c>
      <c r="J56" s="1" t="s">
        <v>16</v>
      </c>
      <c r="K56" s="1" t="s">
        <v>384</v>
      </c>
      <c r="M56" t="b">
        <f t="shared" si="2"/>
        <v>1</v>
      </c>
      <c r="N56" s="1">
        <f t="shared" si="3"/>
        <v>1</v>
      </c>
    </row>
    <row r="57" spans="1:14" ht="16.5" customHeight="1">
      <c r="A57" s="1">
        <v>47</v>
      </c>
      <c r="B57" s="83" t="s">
        <v>418</v>
      </c>
      <c r="C57" s="83"/>
      <c r="D57" s="83"/>
      <c r="E57" s="6" t="s">
        <v>9</v>
      </c>
      <c r="F57" s="1" t="s">
        <v>71</v>
      </c>
      <c r="H57" s="1" t="s">
        <v>10</v>
      </c>
      <c r="I57" s="1" t="s">
        <v>5</v>
      </c>
      <c r="J57" s="1" t="s">
        <v>15</v>
      </c>
      <c r="K57" s="1" t="s">
        <v>6</v>
      </c>
      <c r="M57" t="b">
        <f t="shared" si="2"/>
        <v>1</v>
      </c>
      <c r="N57" s="1">
        <f t="shared" si="3"/>
        <v>1</v>
      </c>
    </row>
    <row r="58" spans="1:14">
      <c r="A58" s="1">
        <v>48</v>
      </c>
      <c r="B58" s="83" t="s">
        <v>63</v>
      </c>
      <c r="C58" s="83"/>
      <c r="D58" s="83"/>
      <c r="E58" s="6" t="s">
        <v>9</v>
      </c>
      <c r="F58" s="1" t="s">
        <v>71</v>
      </c>
      <c r="H58" s="1" t="s">
        <v>10</v>
      </c>
      <c r="I58" s="1" t="s">
        <v>17</v>
      </c>
      <c r="J58" s="1" t="s">
        <v>15</v>
      </c>
      <c r="K58" s="1" t="s">
        <v>6</v>
      </c>
      <c r="M58" t="b">
        <f t="shared" si="2"/>
        <v>1</v>
      </c>
      <c r="N58" s="1">
        <f t="shared" si="3"/>
        <v>1</v>
      </c>
    </row>
    <row r="59" spans="1:14">
      <c r="A59" s="1">
        <v>49</v>
      </c>
      <c r="B59" s="83" t="s">
        <v>64</v>
      </c>
      <c r="C59" s="83"/>
      <c r="D59" s="83"/>
      <c r="E59" s="6" t="s">
        <v>9</v>
      </c>
      <c r="F59" s="1" t="s">
        <v>102</v>
      </c>
      <c r="H59" s="1" t="s">
        <v>49</v>
      </c>
      <c r="I59" s="1" t="s">
        <v>62</v>
      </c>
      <c r="J59" s="1" t="s">
        <v>20</v>
      </c>
      <c r="K59" s="1" t="s">
        <v>13</v>
      </c>
      <c r="M59" t="b">
        <f t="shared" si="2"/>
        <v>1</v>
      </c>
      <c r="N59" s="1">
        <f t="shared" si="3"/>
        <v>1</v>
      </c>
    </row>
    <row r="60" spans="1:14">
      <c r="A60" s="1">
        <v>50</v>
      </c>
      <c r="B60" s="83" t="s">
        <v>65</v>
      </c>
      <c r="C60" s="83"/>
      <c r="D60" s="83"/>
      <c r="E60" s="6" t="s">
        <v>9</v>
      </c>
      <c r="F60" s="1" t="s">
        <v>105</v>
      </c>
      <c r="H60" s="1" t="s">
        <v>49</v>
      </c>
      <c r="I60" s="1" t="s">
        <v>62</v>
      </c>
      <c r="J60" s="1" t="s">
        <v>20</v>
      </c>
      <c r="K60" s="1" t="s">
        <v>13</v>
      </c>
      <c r="M60" t="b">
        <f t="shared" si="2"/>
        <v>1</v>
      </c>
      <c r="N60" s="1">
        <f t="shared" si="3"/>
        <v>1</v>
      </c>
    </row>
    <row r="61" spans="1:14">
      <c r="A61" s="1">
        <v>51</v>
      </c>
      <c r="B61" s="83" t="s">
        <v>66</v>
      </c>
      <c r="C61" s="83"/>
      <c r="D61" s="83"/>
      <c r="E61" s="6" t="s">
        <v>582</v>
      </c>
      <c r="F61" s="1" t="s">
        <v>104</v>
      </c>
      <c r="H61" s="1" t="s">
        <v>49</v>
      </c>
      <c r="I61" s="1" t="s">
        <v>62</v>
      </c>
      <c r="J61" s="1" t="s">
        <v>20</v>
      </c>
      <c r="K61" s="1" t="s">
        <v>13</v>
      </c>
      <c r="M61" t="b">
        <f t="shared" si="2"/>
        <v>1</v>
      </c>
      <c r="N61" s="1">
        <f t="shared" si="3"/>
        <v>1</v>
      </c>
    </row>
    <row r="62" spans="1:14">
      <c r="A62" s="1">
        <v>52</v>
      </c>
      <c r="B62" s="83" t="s">
        <v>67</v>
      </c>
      <c r="C62" s="83"/>
      <c r="D62" s="83"/>
      <c r="E62" s="5"/>
      <c r="F62" s="1" t="s">
        <v>96</v>
      </c>
      <c r="H62" s="1" t="s">
        <v>49</v>
      </c>
      <c r="I62" s="1" t="s">
        <v>62</v>
      </c>
      <c r="J62" s="1" t="s">
        <v>20</v>
      </c>
      <c r="K62" s="1" t="s">
        <v>13</v>
      </c>
      <c r="M62" t="b">
        <f t="shared" si="2"/>
        <v>1</v>
      </c>
      <c r="N62" s="1">
        <f t="shared" si="3"/>
        <v>1</v>
      </c>
    </row>
    <row r="63" spans="1:14">
      <c r="A63" s="1">
        <v>53</v>
      </c>
      <c r="B63" s="83" t="s">
        <v>68</v>
      </c>
      <c r="C63" s="83"/>
      <c r="D63" s="83"/>
      <c r="E63" s="6" t="s">
        <v>9</v>
      </c>
      <c r="F63" s="1" t="s">
        <v>102</v>
      </c>
      <c r="H63" s="1" t="s">
        <v>49</v>
      </c>
      <c r="I63" s="1" t="s">
        <v>62</v>
      </c>
      <c r="J63" s="1" t="s">
        <v>20</v>
      </c>
      <c r="K63" s="1" t="s">
        <v>13</v>
      </c>
      <c r="M63" t="b">
        <f t="shared" si="2"/>
        <v>1</v>
      </c>
      <c r="N63" s="1">
        <f t="shared" si="3"/>
        <v>1</v>
      </c>
    </row>
    <row r="64" spans="1:14">
      <c r="A64" s="1">
        <v>54</v>
      </c>
      <c r="B64" s="83" t="s">
        <v>69</v>
      </c>
      <c r="C64" s="83"/>
      <c r="D64" s="83"/>
      <c r="E64" s="6" t="s">
        <v>9</v>
      </c>
      <c r="F64" s="1" t="s">
        <v>103</v>
      </c>
      <c r="H64" s="1" t="s">
        <v>49</v>
      </c>
      <c r="I64" s="1" t="s">
        <v>62</v>
      </c>
      <c r="J64" s="1" t="s">
        <v>20</v>
      </c>
      <c r="K64" s="1" t="s">
        <v>13</v>
      </c>
      <c r="M64" t="b">
        <f t="shared" si="2"/>
        <v>1</v>
      </c>
      <c r="N64" s="1">
        <f t="shared" si="3"/>
        <v>1</v>
      </c>
    </row>
    <row r="65" spans="1:14">
      <c r="A65" s="1">
        <v>55</v>
      </c>
      <c r="B65" s="83" t="s">
        <v>407</v>
      </c>
      <c r="C65" s="83"/>
      <c r="D65" s="83"/>
      <c r="E65" s="6" t="s">
        <v>9</v>
      </c>
      <c r="F65" s="1" t="s">
        <v>87</v>
      </c>
      <c r="H65" s="1" t="s">
        <v>31</v>
      </c>
      <c r="I65" s="1" t="s">
        <v>17</v>
      </c>
      <c r="J65" s="1" t="s">
        <v>53</v>
      </c>
      <c r="K65" s="1" t="s">
        <v>13</v>
      </c>
      <c r="M65" t="b">
        <f t="shared" si="2"/>
        <v>1</v>
      </c>
      <c r="N65" s="1">
        <f t="shared" si="3"/>
        <v>1</v>
      </c>
    </row>
    <row r="66" spans="1:14">
      <c r="A66" s="1">
        <v>56</v>
      </c>
      <c r="B66" s="82" t="s">
        <v>388</v>
      </c>
      <c r="C66" s="82"/>
      <c r="D66" s="82"/>
      <c r="E66" s="6" t="s">
        <v>9</v>
      </c>
      <c r="F66" s="1" t="s">
        <v>108</v>
      </c>
      <c r="H66" s="1" t="s">
        <v>31</v>
      </c>
      <c r="I66" s="1" t="s">
        <v>62</v>
      </c>
      <c r="J66" s="1" t="s">
        <v>127</v>
      </c>
      <c r="K66" s="1" t="s">
        <v>384</v>
      </c>
      <c r="M66" t="b">
        <f t="shared" si="2"/>
        <v>1</v>
      </c>
      <c r="N66" s="1">
        <f t="shared" si="3"/>
        <v>1</v>
      </c>
    </row>
    <row r="67" spans="1:14">
      <c r="A67" s="1">
        <v>57</v>
      </c>
      <c r="B67" s="82" t="s">
        <v>389</v>
      </c>
      <c r="C67" s="82"/>
      <c r="D67" s="82"/>
      <c r="E67" s="6" t="s">
        <v>9</v>
      </c>
      <c r="F67" s="1" t="s">
        <v>108</v>
      </c>
      <c r="H67" s="1" t="s">
        <v>31</v>
      </c>
      <c r="I67" s="1" t="s">
        <v>62</v>
      </c>
      <c r="J67" s="1" t="s">
        <v>127</v>
      </c>
      <c r="K67" s="1" t="s">
        <v>34</v>
      </c>
      <c r="M67" t="b">
        <f t="shared" si="2"/>
        <v>1</v>
      </c>
      <c r="N67" s="1">
        <f t="shared" si="3"/>
        <v>1</v>
      </c>
    </row>
    <row r="68" spans="1:14">
      <c r="A68" s="1">
        <v>58</v>
      </c>
      <c r="B68" s="82" t="s">
        <v>109</v>
      </c>
      <c r="C68" s="82"/>
      <c r="D68" s="82"/>
      <c r="E68" s="6" t="s">
        <v>9</v>
      </c>
      <c r="F68" s="1" t="s">
        <v>103</v>
      </c>
      <c r="H68" s="1" t="s">
        <v>50</v>
      </c>
      <c r="I68" s="1" t="s">
        <v>5</v>
      </c>
      <c r="J68" s="1" t="s">
        <v>54</v>
      </c>
      <c r="K68" s="1" t="s">
        <v>384</v>
      </c>
      <c r="M68" t="b">
        <f t="shared" si="2"/>
        <v>1</v>
      </c>
      <c r="N68" s="1">
        <f t="shared" si="3"/>
        <v>1</v>
      </c>
    </row>
    <row r="69" spans="1:14">
      <c r="A69" s="1">
        <v>59</v>
      </c>
      <c r="B69" s="83" t="s">
        <v>110</v>
      </c>
      <c r="C69" s="83"/>
      <c r="D69" s="83"/>
      <c r="E69" s="6" t="s">
        <v>9</v>
      </c>
      <c r="F69" s="1" t="s">
        <v>92</v>
      </c>
      <c r="H69" s="1" t="s">
        <v>12</v>
      </c>
      <c r="I69" s="1" t="s">
        <v>62</v>
      </c>
      <c r="J69" s="1" t="s">
        <v>111</v>
      </c>
      <c r="K69" s="1" t="s">
        <v>384</v>
      </c>
      <c r="M69" t="b">
        <f t="shared" si="2"/>
        <v>1</v>
      </c>
      <c r="N69" s="1">
        <f t="shared" si="3"/>
        <v>1</v>
      </c>
    </row>
    <row r="70" spans="1:14">
      <c r="A70" s="1">
        <v>60</v>
      </c>
      <c r="B70" s="83" t="s">
        <v>112</v>
      </c>
      <c r="C70" s="83"/>
      <c r="D70" s="83"/>
      <c r="E70" s="7" t="s">
        <v>9</v>
      </c>
      <c r="F70" s="1" t="s">
        <v>96</v>
      </c>
      <c r="H70" s="1" t="s">
        <v>50</v>
      </c>
      <c r="I70" s="1" t="s">
        <v>5</v>
      </c>
      <c r="J70" s="1" t="s">
        <v>53</v>
      </c>
      <c r="K70" s="1" t="s">
        <v>390</v>
      </c>
      <c r="M70" t="b">
        <f t="shared" si="2"/>
        <v>1</v>
      </c>
      <c r="N70" s="1">
        <f t="shared" si="3"/>
        <v>1</v>
      </c>
    </row>
    <row r="71" spans="1:14">
      <c r="A71" s="1">
        <v>61</v>
      </c>
      <c r="B71" s="83" t="s">
        <v>113</v>
      </c>
      <c r="C71" s="83"/>
      <c r="D71" s="83"/>
      <c r="E71" s="7" t="s">
        <v>9</v>
      </c>
      <c r="F71" s="1" t="s">
        <v>122</v>
      </c>
      <c r="H71" s="1" t="s">
        <v>12</v>
      </c>
      <c r="I71" s="1" t="s">
        <v>62</v>
      </c>
      <c r="J71" s="1" t="s">
        <v>127</v>
      </c>
      <c r="K71" s="1" t="s">
        <v>13</v>
      </c>
      <c r="M71" t="b">
        <f t="shared" si="2"/>
        <v>1</v>
      </c>
      <c r="N71" s="1">
        <f t="shared" si="3"/>
        <v>1</v>
      </c>
    </row>
    <row r="72" spans="1:14">
      <c r="A72" s="1">
        <v>62</v>
      </c>
      <c r="B72" s="83" t="s">
        <v>114</v>
      </c>
      <c r="C72" s="83"/>
      <c r="D72" s="83"/>
      <c r="E72" s="7" t="s">
        <v>9</v>
      </c>
      <c r="F72" s="1" t="s">
        <v>123</v>
      </c>
      <c r="H72" s="1" t="s">
        <v>12</v>
      </c>
      <c r="I72" s="1" t="s">
        <v>62</v>
      </c>
      <c r="J72" s="1" t="s">
        <v>127</v>
      </c>
      <c r="K72" s="1" t="s">
        <v>13</v>
      </c>
      <c r="M72" t="b">
        <f t="shared" si="2"/>
        <v>1</v>
      </c>
      <c r="N72" s="1">
        <f t="shared" si="3"/>
        <v>1</v>
      </c>
    </row>
    <row r="73" spans="1:14">
      <c r="A73" s="1">
        <v>63</v>
      </c>
      <c r="B73" s="83" t="s">
        <v>115</v>
      </c>
      <c r="C73" s="83"/>
      <c r="D73" s="83"/>
      <c r="E73" s="7" t="s">
        <v>9</v>
      </c>
      <c r="F73" s="1" t="s">
        <v>124</v>
      </c>
      <c r="H73" s="1" t="s">
        <v>12</v>
      </c>
      <c r="I73" s="1" t="s">
        <v>62</v>
      </c>
      <c r="J73" s="1" t="s">
        <v>126</v>
      </c>
      <c r="K73" s="1" t="s">
        <v>13</v>
      </c>
      <c r="M73" t="b">
        <f t="shared" si="2"/>
        <v>1</v>
      </c>
      <c r="N73" s="1">
        <f t="shared" si="3"/>
        <v>1</v>
      </c>
    </row>
    <row r="74" spans="1:14">
      <c r="A74" s="1">
        <v>64</v>
      </c>
      <c r="B74" s="83" t="s">
        <v>116</v>
      </c>
      <c r="C74" s="83"/>
      <c r="D74" s="83"/>
      <c r="E74" s="7" t="s">
        <v>9</v>
      </c>
      <c r="F74" s="1" t="s">
        <v>121</v>
      </c>
      <c r="H74" s="1" t="s">
        <v>31</v>
      </c>
      <c r="I74" s="1" t="s">
        <v>62</v>
      </c>
      <c r="J74" s="1" t="s">
        <v>127</v>
      </c>
      <c r="K74" s="1" t="s">
        <v>13</v>
      </c>
      <c r="M74" t="b">
        <f t="shared" si="2"/>
        <v>1</v>
      </c>
      <c r="N74" s="1">
        <f t="shared" si="3"/>
        <v>1</v>
      </c>
    </row>
    <row r="75" spans="1:14">
      <c r="A75" s="1">
        <v>65</v>
      </c>
      <c r="B75" s="83" t="s">
        <v>117</v>
      </c>
      <c r="C75" s="83"/>
      <c r="D75" s="83"/>
      <c r="E75" s="7" t="s">
        <v>9</v>
      </c>
      <c r="F75" s="1" t="s">
        <v>122</v>
      </c>
      <c r="H75" s="1" t="s">
        <v>12</v>
      </c>
      <c r="I75" s="1" t="s">
        <v>62</v>
      </c>
      <c r="J75" s="1" t="s">
        <v>126</v>
      </c>
      <c r="K75" s="1" t="s">
        <v>13</v>
      </c>
      <c r="M75" t="b">
        <f t="shared" ref="M75:M105" si="4">AND(ISNUMBER(SEARCH($B$7,$H75)),ISNUMBER(SEARCH($C$7,$I75)),ISNUMBER(SEARCH($D$7,$J75)),ISNUMBER(SEARCH($E$7,$K75)))</f>
        <v>1</v>
      </c>
      <c r="N75" s="1">
        <f t="shared" ref="N75:N105" si="5">--(AND(ISNUMBER(SEARCH($B$7,$H75)),ISNUMBER(SEARCH($C$7,$I75)),ISNUMBER(SEARCH($D$7,$J75)),ISNUMBER(SEARCH($E$7,$K75))))</f>
        <v>1</v>
      </c>
    </row>
    <row r="76" spans="1:14">
      <c r="A76" s="1">
        <v>66</v>
      </c>
      <c r="B76" s="83" t="s">
        <v>118</v>
      </c>
      <c r="C76" s="83"/>
      <c r="D76" s="83"/>
      <c r="E76" s="7" t="s">
        <v>9</v>
      </c>
      <c r="F76" s="1" t="s">
        <v>125</v>
      </c>
      <c r="H76" s="1" t="s">
        <v>12</v>
      </c>
      <c r="I76" s="1" t="s">
        <v>62</v>
      </c>
      <c r="J76" s="1" t="s">
        <v>126</v>
      </c>
      <c r="K76" s="1" t="s">
        <v>13</v>
      </c>
      <c r="M76" t="b">
        <f t="shared" si="4"/>
        <v>1</v>
      </c>
      <c r="N76" s="1">
        <f t="shared" si="5"/>
        <v>1</v>
      </c>
    </row>
    <row r="77" spans="1:14">
      <c r="A77" s="1">
        <v>67</v>
      </c>
      <c r="B77" s="83" t="s">
        <v>119</v>
      </c>
      <c r="C77" s="83"/>
      <c r="D77" s="83"/>
      <c r="E77" s="7" t="s">
        <v>9</v>
      </c>
      <c r="F77" s="1" t="s">
        <v>120</v>
      </c>
      <c r="H77" s="1" t="s">
        <v>12</v>
      </c>
      <c r="I77" s="1" t="s">
        <v>62</v>
      </c>
      <c r="J77" s="1" t="s">
        <v>126</v>
      </c>
      <c r="K77" s="1" t="s">
        <v>13</v>
      </c>
      <c r="M77" t="b">
        <f t="shared" si="4"/>
        <v>1</v>
      </c>
      <c r="N77" s="1">
        <f t="shared" si="5"/>
        <v>1</v>
      </c>
    </row>
    <row r="78" spans="1:14">
      <c r="A78" s="1">
        <v>68</v>
      </c>
      <c r="B78" s="83" t="s">
        <v>174</v>
      </c>
      <c r="C78" s="83"/>
      <c r="D78" s="83"/>
      <c r="E78" s="7" t="s">
        <v>172</v>
      </c>
      <c r="F78" s="1" t="s">
        <v>173</v>
      </c>
      <c r="H78" s="1" t="s">
        <v>50</v>
      </c>
      <c r="I78" s="1" t="s">
        <v>5</v>
      </c>
      <c r="J78" s="1" t="s">
        <v>16</v>
      </c>
      <c r="K78" s="1" t="s">
        <v>384</v>
      </c>
      <c r="M78" t="b">
        <f t="shared" si="4"/>
        <v>1</v>
      </c>
      <c r="N78" s="1">
        <f t="shared" si="5"/>
        <v>1</v>
      </c>
    </row>
    <row r="79" spans="1:14">
      <c r="A79" s="1">
        <v>69</v>
      </c>
      <c r="B79" s="83" t="s">
        <v>175</v>
      </c>
      <c r="C79" s="83"/>
      <c r="D79" s="83"/>
      <c r="E79" s="7" t="s">
        <v>172</v>
      </c>
      <c r="F79" s="1" t="s">
        <v>177</v>
      </c>
      <c r="H79" s="1" t="s">
        <v>31</v>
      </c>
      <c r="I79" s="1" t="s">
        <v>5</v>
      </c>
      <c r="J79" s="1" t="s">
        <v>126</v>
      </c>
      <c r="K79" s="1" t="s">
        <v>384</v>
      </c>
      <c r="M79" t="b">
        <f t="shared" si="4"/>
        <v>1</v>
      </c>
      <c r="N79" s="1">
        <f t="shared" si="5"/>
        <v>1</v>
      </c>
    </row>
    <row r="80" spans="1:14">
      <c r="A80" s="1">
        <v>70</v>
      </c>
      <c r="B80" s="83" t="s">
        <v>176</v>
      </c>
      <c r="C80" s="83"/>
      <c r="D80" s="83"/>
      <c r="E80" s="7" t="s">
        <v>172</v>
      </c>
      <c r="F80" s="1" t="s">
        <v>186</v>
      </c>
      <c r="H80" s="1" t="s">
        <v>49</v>
      </c>
      <c r="I80" s="1" t="s">
        <v>5</v>
      </c>
      <c r="J80" s="1" t="s">
        <v>111</v>
      </c>
      <c r="K80" s="1" t="s">
        <v>384</v>
      </c>
      <c r="M80" t="b">
        <f t="shared" si="4"/>
        <v>1</v>
      </c>
      <c r="N80" s="1">
        <f t="shared" si="5"/>
        <v>1</v>
      </c>
    </row>
    <row r="81" spans="1:14">
      <c r="A81" s="1">
        <v>71</v>
      </c>
      <c r="B81" s="83" t="s">
        <v>178</v>
      </c>
      <c r="C81" s="83"/>
      <c r="D81" s="83"/>
      <c r="E81" s="7" t="s">
        <v>9</v>
      </c>
      <c r="F81" s="1" t="s">
        <v>179</v>
      </c>
      <c r="H81" s="1" t="s">
        <v>50</v>
      </c>
      <c r="I81" s="1" t="s">
        <v>62</v>
      </c>
      <c r="J81" s="1" t="s">
        <v>54</v>
      </c>
      <c r="K81" s="1" t="s">
        <v>13</v>
      </c>
      <c r="M81" t="b">
        <f t="shared" si="4"/>
        <v>1</v>
      </c>
      <c r="N81" s="1">
        <f t="shared" si="5"/>
        <v>1</v>
      </c>
    </row>
    <row r="82" spans="1:14">
      <c r="A82" s="1">
        <v>72</v>
      </c>
      <c r="B82" s="83" t="s">
        <v>180</v>
      </c>
      <c r="C82" s="83"/>
      <c r="D82" s="83"/>
      <c r="E82" s="6" t="s">
        <v>9</v>
      </c>
      <c r="F82" s="1" t="s">
        <v>181</v>
      </c>
      <c r="H82" s="1" t="s">
        <v>49</v>
      </c>
      <c r="I82" s="1" t="s">
        <v>5</v>
      </c>
      <c r="J82" s="1" t="s">
        <v>18</v>
      </c>
      <c r="K82" s="1" t="s">
        <v>384</v>
      </c>
      <c r="M82" t="b">
        <f t="shared" si="4"/>
        <v>1</v>
      </c>
      <c r="N82" s="1">
        <f t="shared" si="5"/>
        <v>1</v>
      </c>
    </row>
    <row r="83" spans="1:14">
      <c r="A83" s="1">
        <v>73</v>
      </c>
      <c r="B83" s="83" t="s">
        <v>182</v>
      </c>
      <c r="C83" s="83"/>
      <c r="D83" s="83"/>
      <c r="E83" s="6" t="s">
        <v>9</v>
      </c>
      <c r="F83" s="1" t="s">
        <v>183</v>
      </c>
      <c r="H83" s="1" t="s">
        <v>49</v>
      </c>
      <c r="I83" s="1" t="s">
        <v>62</v>
      </c>
      <c r="J83" s="1" t="s">
        <v>111</v>
      </c>
      <c r="K83" s="1" t="s">
        <v>384</v>
      </c>
      <c r="M83" t="b">
        <f t="shared" si="4"/>
        <v>1</v>
      </c>
      <c r="N83" s="1">
        <f t="shared" si="5"/>
        <v>1</v>
      </c>
    </row>
    <row r="84" spans="1:14">
      <c r="A84" s="1">
        <v>74</v>
      </c>
      <c r="B84" s="83" t="s">
        <v>184</v>
      </c>
      <c r="C84" s="83"/>
      <c r="D84" s="83"/>
      <c r="E84" s="6" t="s">
        <v>9</v>
      </c>
      <c r="F84" s="1" t="s">
        <v>185</v>
      </c>
      <c r="H84" s="1" t="s">
        <v>49</v>
      </c>
      <c r="I84" s="1" t="s">
        <v>62</v>
      </c>
      <c r="J84" s="1" t="s">
        <v>111</v>
      </c>
      <c r="K84" s="1" t="s">
        <v>384</v>
      </c>
      <c r="M84" t="b">
        <f t="shared" si="4"/>
        <v>1</v>
      </c>
      <c r="N84" s="1">
        <f t="shared" si="5"/>
        <v>1</v>
      </c>
    </row>
    <row r="85" spans="1:14">
      <c r="A85" s="1">
        <v>75</v>
      </c>
      <c r="B85" s="83" t="s">
        <v>408</v>
      </c>
      <c r="C85" s="83"/>
      <c r="D85" s="83"/>
      <c r="E85" s="7" t="s">
        <v>9</v>
      </c>
      <c r="F85" s="1" t="s">
        <v>77</v>
      </c>
      <c r="H85" s="1" t="s">
        <v>31</v>
      </c>
      <c r="I85" s="1" t="s">
        <v>17</v>
      </c>
      <c r="J85" s="1" t="s">
        <v>15</v>
      </c>
      <c r="K85" s="1" t="s">
        <v>384</v>
      </c>
      <c r="M85" t="b">
        <f t="shared" si="4"/>
        <v>1</v>
      </c>
      <c r="N85" s="1">
        <f t="shared" si="5"/>
        <v>1</v>
      </c>
    </row>
    <row r="86" spans="1:14">
      <c r="A86" s="1">
        <v>76</v>
      </c>
      <c r="B86" s="83" t="s">
        <v>391</v>
      </c>
      <c r="C86" s="83"/>
      <c r="D86" s="83"/>
      <c r="E86" s="6" t="s">
        <v>9</v>
      </c>
      <c r="F86" s="1" t="s">
        <v>341</v>
      </c>
      <c r="H86" s="1" t="s">
        <v>50</v>
      </c>
      <c r="I86" s="1" t="s">
        <v>5</v>
      </c>
      <c r="J86" s="1" t="s">
        <v>53</v>
      </c>
      <c r="K86" s="1" t="s">
        <v>384</v>
      </c>
      <c r="M86" t="b">
        <f t="shared" si="4"/>
        <v>1</v>
      </c>
      <c r="N86" s="1">
        <f t="shared" si="5"/>
        <v>1</v>
      </c>
    </row>
    <row r="87" spans="1:14">
      <c r="A87" s="1">
        <v>77</v>
      </c>
      <c r="B87" s="83" t="s">
        <v>342</v>
      </c>
      <c r="C87" s="83"/>
      <c r="D87" s="83"/>
      <c r="E87" s="6" t="s">
        <v>9</v>
      </c>
      <c r="F87" s="1" t="s">
        <v>108</v>
      </c>
      <c r="H87" s="1" t="s">
        <v>12</v>
      </c>
      <c r="I87" s="1" t="s">
        <v>5</v>
      </c>
      <c r="J87" s="1" t="s">
        <v>53</v>
      </c>
      <c r="K87" s="1" t="s">
        <v>34</v>
      </c>
      <c r="M87" t="b">
        <f t="shared" si="4"/>
        <v>1</v>
      </c>
      <c r="N87" s="1">
        <f t="shared" si="5"/>
        <v>1</v>
      </c>
    </row>
    <row r="88" spans="1:14">
      <c r="A88" s="1">
        <v>78</v>
      </c>
      <c r="B88" s="83" t="s">
        <v>343</v>
      </c>
      <c r="C88" s="83"/>
      <c r="D88" s="83"/>
      <c r="E88" s="6" t="s">
        <v>9</v>
      </c>
      <c r="F88" s="1" t="s">
        <v>108</v>
      </c>
      <c r="H88" s="1" t="s">
        <v>12</v>
      </c>
      <c r="I88" s="1" t="s">
        <v>5</v>
      </c>
      <c r="J88" s="1" t="s">
        <v>53</v>
      </c>
      <c r="K88" s="1" t="s">
        <v>34</v>
      </c>
      <c r="M88" t="b">
        <f t="shared" si="4"/>
        <v>1</v>
      </c>
      <c r="N88" s="1">
        <f t="shared" si="5"/>
        <v>1</v>
      </c>
    </row>
    <row r="89" spans="1:14">
      <c r="A89" s="1">
        <v>79</v>
      </c>
      <c r="B89" s="83" t="s">
        <v>409</v>
      </c>
      <c r="C89" s="83"/>
      <c r="D89" s="83"/>
      <c r="E89" s="6" t="s">
        <v>9</v>
      </c>
      <c r="F89" s="1" t="s">
        <v>341</v>
      </c>
      <c r="H89" s="1" t="s">
        <v>31</v>
      </c>
      <c r="I89" s="1" t="s">
        <v>5</v>
      </c>
      <c r="J89" s="1" t="s">
        <v>53</v>
      </c>
      <c r="K89" s="1" t="s">
        <v>390</v>
      </c>
      <c r="M89" t="b">
        <f t="shared" si="4"/>
        <v>1</v>
      </c>
      <c r="N89" s="1">
        <f t="shared" si="5"/>
        <v>1</v>
      </c>
    </row>
    <row r="90" spans="1:14">
      <c r="A90" s="1">
        <v>80</v>
      </c>
      <c r="B90" s="83" t="s">
        <v>416</v>
      </c>
      <c r="C90" s="83"/>
      <c r="D90" s="83"/>
      <c r="E90" s="6" t="s">
        <v>9</v>
      </c>
      <c r="F90" s="1" t="s">
        <v>344</v>
      </c>
      <c r="H90" s="1" t="s">
        <v>31</v>
      </c>
      <c r="I90" s="1" t="s">
        <v>5</v>
      </c>
      <c r="J90" s="1" t="s">
        <v>16</v>
      </c>
      <c r="K90" s="1" t="s">
        <v>384</v>
      </c>
      <c r="M90" t="b">
        <f t="shared" si="4"/>
        <v>1</v>
      </c>
      <c r="N90" s="1">
        <f t="shared" si="5"/>
        <v>1</v>
      </c>
    </row>
    <row r="91" spans="1:14">
      <c r="A91" s="1">
        <v>81</v>
      </c>
      <c r="B91" s="83" t="s">
        <v>345</v>
      </c>
      <c r="C91" s="83"/>
      <c r="D91" s="83"/>
      <c r="E91" s="6" t="s">
        <v>9</v>
      </c>
      <c r="F91" s="1" t="s">
        <v>87</v>
      </c>
      <c r="H91" s="1" t="s">
        <v>50</v>
      </c>
      <c r="I91" s="1" t="s">
        <v>62</v>
      </c>
      <c r="J91" s="1" t="s">
        <v>16</v>
      </c>
      <c r="K91" s="1" t="s">
        <v>384</v>
      </c>
      <c r="M91" t="b">
        <f t="shared" si="4"/>
        <v>1</v>
      </c>
      <c r="N91" s="1">
        <f t="shared" si="5"/>
        <v>1</v>
      </c>
    </row>
    <row r="92" spans="1:14">
      <c r="A92" s="1">
        <v>82</v>
      </c>
      <c r="B92" s="83" t="s">
        <v>346</v>
      </c>
      <c r="C92" s="83"/>
      <c r="D92" s="83"/>
      <c r="E92" s="6" t="s">
        <v>172</v>
      </c>
      <c r="F92" s="1" t="s">
        <v>124</v>
      </c>
      <c r="H92" s="1" t="s">
        <v>49</v>
      </c>
      <c r="I92" s="1" t="s">
        <v>5</v>
      </c>
      <c r="J92" s="1" t="s">
        <v>16</v>
      </c>
      <c r="K92" s="1" t="s">
        <v>386</v>
      </c>
      <c r="M92" t="b">
        <f t="shared" si="4"/>
        <v>1</v>
      </c>
      <c r="N92" s="1">
        <f t="shared" si="5"/>
        <v>1</v>
      </c>
    </row>
    <row r="93" spans="1:14">
      <c r="A93" s="1">
        <v>83</v>
      </c>
      <c r="B93" s="83" t="s">
        <v>415</v>
      </c>
      <c r="C93" s="83"/>
      <c r="D93" s="83"/>
      <c r="E93" s="6" t="s">
        <v>9</v>
      </c>
      <c r="F93" s="1" t="s">
        <v>75</v>
      </c>
      <c r="H93" s="1" t="s">
        <v>49</v>
      </c>
      <c r="I93" s="1" t="s">
        <v>5</v>
      </c>
      <c r="J93" s="1" t="s">
        <v>18</v>
      </c>
      <c r="K93" s="1" t="s">
        <v>384</v>
      </c>
      <c r="M93" t="b">
        <f t="shared" si="4"/>
        <v>1</v>
      </c>
      <c r="N93" s="1">
        <f t="shared" si="5"/>
        <v>1</v>
      </c>
    </row>
    <row r="94" spans="1:14">
      <c r="A94" s="1">
        <v>84</v>
      </c>
      <c r="B94" s="83" t="s">
        <v>347</v>
      </c>
      <c r="C94" s="83"/>
      <c r="D94" s="83"/>
      <c r="E94" s="6" t="s">
        <v>172</v>
      </c>
      <c r="F94" s="1" t="s">
        <v>348</v>
      </c>
      <c r="H94" s="1" t="s">
        <v>31</v>
      </c>
      <c r="I94" s="1" t="s">
        <v>5</v>
      </c>
      <c r="J94" s="1" t="s">
        <v>53</v>
      </c>
      <c r="K94" s="1" t="s">
        <v>384</v>
      </c>
      <c r="M94" t="b">
        <f t="shared" si="4"/>
        <v>1</v>
      </c>
      <c r="N94" s="1">
        <f t="shared" si="5"/>
        <v>1</v>
      </c>
    </row>
    <row r="95" spans="1:14">
      <c r="A95" s="1">
        <v>85</v>
      </c>
      <c r="B95" s="83" t="s">
        <v>349</v>
      </c>
      <c r="C95" s="83"/>
      <c r="D95" s="83"/>
      <c r="E95" s="7" t="s">
        <v>9</v>
      </c>
      <c r="F95" s="1" t="s">
        <v>350</v>
      </c>
      <c r="H95" s="1" t="s">
        <v>50</v>
      </c>
      <c r="I95" s="1" t="s">
        <v>5</v>
      </c>
      <c r="J95" s="1" t="s">
        <v>45</v>
      </c>
      <c r="K95" s="1" t="s">
        <v>384</v>
      </c>
      <c r="M95" t="b">
        <f t="shared" si="4"/>
        <v>1</v>
      </c>
      <c r="N95" s="1">
        <f t="shared" si="5"/>
        <v>1</v>
      </c>
    </row>
    <row r="96" spans="1:14">
      <c r="A96" s="1">
        <v>86</v>
      </c>
      <c r="B96" s="83" t="s">
        <v>351</v>
      </c>
      <c r="C96" s="83"/>
      <c r="D96" s="83"/>
      <c r="E96" s="7" t="s">
        <v>9</v>
      </c>
      <c r="F96" s="1" t="s">
        <v>352</v>
      </c>
      <c r="H96" s="1" t="s">
        <v>50</v>
      </c>
      <c r="I96" s="1" t="s">
        <v>17</v>
      </c>
      <c r="J96" s="1" t="s">
        <v>53</v>
      </c>
      <c r="K96" s="1" t="s">
        <v>386</v>
      </c>
      <c r="M96" t="b">
        <f t="shared" si="4"/>
        <v>1</v>
      </c>
      <c r="N96" s="1">
        <f t="shared" si="5"/>
        <v>1</v>
      </c>
    </row>
    <row r="97" spans="1:14">
      <c r="A97" s="1">
        <v>87</v>
      </c>
      <c r="B97" s="83" t="s">
        <v>354</v>
      </c>
      <c r="C97" s="83"/>
      <c r="D97" s="83"/>
      <c r="E97" s="7" t="s">
        <v>9</v>
      </c>
      <c r="F97" s="1" t="s">
        <v>353</v>
      </c>
      <c r="H97" s="1" t="s">
        <v>31</v>
      </c>
      <c r="I97" s="1" t="s">
        <v>62</v>
      </c>
      <c r="J97" s="1" t="s">
        <v>355</v>
      </c>
      <c r="K97" s="1" t="s">
        <v>13</v>
      </c>
      <c r="M97" t="b">
        <f t="shared" si="4"/>
        <v>1</v>
      </c>
      <c r="N97" s="1">
        <f t="shared" si="5"/>
        <v>1</v>
      </c>
    </row>
    <row r="98" spans="1:14">
      <c r="A98" s="1">
        <v>88</v>
      </c>
      <c r="B98" s="83" t="s">
        <v>410</v>
      </c>
      <c r="C98" s="83"/>
      <c r="D98" s="83"/>
      <c r="E98" s="7" t="s">
        <v>9</v>
      </c>
      <c r="F98" s="1" t="s">
        <v>344</v>
      </c>
      <c r="H98" s="1" t="s">
        <v>31</v>
      </c>
      <c r="I98" s="1" t="s">
        <v>62</v>
      </c>
      <c r="J98" s="1" t="s">
        <v>53</v>
      </c>
      <c r="K98" s="1" t="s">
        <v>384</v>
      </c>
      <c r="M98" t="b">
        <f t="shared" si="4"/>
        <v>1</v>
      </c>
      <c r="N98" s="1">
        <f t="shared" si="5"/>
        <v>1</v>
      </c>
    </row>
    <row r="99" spans="1:14">
      <c r="A99" s="1">
        <v>89</v>
      </c>
      <c r="B99" s="83" t="s">
        <v>356</v>
      </c>
      <c r="C99" s="83"/>
      <c r="D99" s="83"/>
      <c r="E99" s="7" t="s">
        <v>172</v>
      </c>
      <c r="F99" s="1" t="s">
        <v>348</v>
      </c>
      <c r="H99" s="1" t="s">
        <v>50</v>
      </c>
      <c r="I99" s="1" t="s">
        <v>62</v>
      </c>
      <c r="J99" s="1" t="s">
        <v>111</v>
      </c>
      <c r="K99" s="1" t="s">
        <v>384</v>
      </c>
      <c r="M99" t="b">
        <f t="shared" si="4"/>
        <v>1</v>
      </c>
      <c r="N99" s="1">
        <f t="shared" si="5"/>
        <v>1</v>
      </c>
    </row>
    <row r="100" spans="1:14">
      <c r="A100" s="1">
        <v>90</v>
      </c>
      <c r="B100" s="83" t="s">
        <v>364</v>
      </c>
      <c r="C100" s="83"/>
      <c r="D100" s="83"/>
      <c r="E100" s="7" t="s">
        <v>9</v>
      </c>
      <c r="F100" s="1" t="s">
        <v>357</v>
      </c>
      <c r="H100" s="1" t="s">
        <v>12</v>
      </c>
      <c r="I100" s="1" t="s">
        <v>62</v>
      </c>
      <c r="J100" s="1" t="s">
        <v>15</v>
      </c>
      <c r="K100" s="1" t="s">
        <v>384</v>
      </c>
      <c r="M100" t="b">
        <f t="shared" si="4"/>
        <v>1</v>
      </c>
      <c r="N100" s="1">
        <f t="shared" si="5"/>
        <v>1</v>
      </c>
    </row>
    <row r="101" spans="1:14">
      <c r="A101" s="1">
        <v>91</v>
      </c>
      <c r="B101" s="83" t="s">
        <v>359</v>
      </c>
      <c r="C101" s="83"/>
      <c r="D101" s="83"/>
      <c r="E101" s="7" t="s">
        <v>9</v>
      </c>
      <c r="F101" s="1" t="s">
        <v>360</v>
      </c>
      <c r="H101" s="1" t="s">
        <v>31</v>
      </c>
      <c r="I101" s="1" t="s">
        <v>62</v>
      </c>
      <c r="J101" s="1" t="s">
        <v>355</v>
      </c>
      <c r="K101" s="1" t="s">
        <v>13</v>
      </c>
      <c r="M101" t="b">
        <f t="shared" si="4"/>
        <v>1</v>
      </c>
      <c r="N101" s="1">
        <f t="shared" si="5"/>
        <v>1</v>
      </c>
    </row>
    <row r="102" spans="1:14">
      <c r="A102" s="1">
        <v>92</v>
      </c>
      <c r="B102" s="83" t="s">
        <v>411</v>
      </c>
      <c r="C102" s="83"/>
      <c r="D102" s="83"/>
      <c r="E102" s="7" t="s">
        <v>9</v>
      </c>
      <c r="F102" s="1" t="s">
        <v>358</v>
      </c>
      <c r="H102" s="1" t="s">
        <v>12</v>
      </c>
      <c r="I102" s="1" t="s">
        <v>62</v>
      </c>
      <c r="J102" s="1" t="s">
        <v>15</v>
      </c>
      <c r="K102" s="1" t="s">
        <v>384</v>
      </c>
      <c r="M102" t="b">
        <f t="shared" si="4"/>
        <v>1</v>
      </c>
      <c r="N102" s="1">
        <f t="shared" si="5"/>
        <v>1</v>
      </c>
    </row>
    <row r="103" spans="1:14">
      <c r="A103" s="1">
        <v>93</v>
      </c>
      <c r="B103" s="83" t="s">
        <v>417</v>
      </c>
      <c r="C103" s="83"/>
      <c r="D103" s="83"/>
      <c r="E103" s="7" t="s">
        <v>9</v>
      </c>
      <c r="F103" s="1" t="s">
        <v>361</v>
      </c>
      <c r="H103" s="1" t="s">
        <v>12</v>
      </c>
      <c r="I103" s="1" t="s">
        <v>5</v>
      </c>
      <c r="J103" s="1" t="s">
        <v>111</v>
      </c>
      <c r="K103" s="1" t="s">
        <v>384</v>
      </c>
      <c r="M103" t="b">
        <f t="shared" si="4"/>
        <v>1</v>
      </c>
      <c r="N103" s="1">
        <f t="shared" si="5"/>
        <v>1</v>
      </c>
    </row>
    <row r="104" spans="1:14">
      <c r="A104" s="1">
        <v>94</v>
      </c>
      <c r="B104" s="82" t="s">
        <v>362</v>
      </c>
      <c r="C104" s="82"/>
      <c r="D104" s="82"/>
      <c r="E104" s="7" t="s">
        <v>172</v>
      </c>
      <c r="F104" s="1" t="s">
        <v>363</v>
      </c>
      <c r="H104" s="1" t="s">
        <v>31</v>
      </c>
      <c r="I104" s="1" t="s">
        <v>5</v>
      </c>
      <c r="J104" s="1" t="s">
        <v>16</v>
      </c>
      <c r="K104" s="1" t="s">
        <v>384</v>
      </c>
      <c r="M104" t="b">
        <f t="shared" si="4"/>
        <v>1</v>
      </c>
      <c r="N104" s="1">
        <f t="shared" si="5"/>
        <v>1</v>
      </c>
    </row>
    <row r="105" spans="1:14">
      <c r="A105" s="1">
        <v>95</v>
      </c>
      <c r="B105" s="82" t="s">
        <v>412</v>
      </c>
      <c r="C105" s="82"/>
      <c r="D105" s="82"/>
      <c r="E105" s="7" t="s">
        <v>9</v>
      </c>
      <c r="F105" s="1" t="s">
        <v>83</v>
      </c>
      <c r="H105" s="1" t="s">
        <v>49</v>
      </c>
      <c r="I105" s="1" t="s">
        <v>17</v>
      </c>
      <c r="J105" s="1" t="s">
        <v>16</v>
      </c>
      <c r="K105" s="1" t="s">
        <v>13</v>
      </c>
      <c r="M105" t="b">
        <f t="shared" si="4"/>
        <v>1</v>
      </c>
      <c r="N105" s="1">
        <f t="shared" si="5"/>
        <v>1</v>
      </c>
    </row>
    <row r="106" spans="1:14">
      <c r="A106" s="1">
        <v>96</v>
      </c>
      <c r="B106" s="83" t="s">
        <v>395</v>
      </c>
      <c r="C106" s="83"/>
      <c r="D106" s="83"/>
      <c r="E106" s="7" t="s">
        <v>9</v>
      </c>
      <c r="F106" s="1" t="s">
        <v>91</v>
      </c>
      <c r="H106" s="1" t="s">
        <v>12</v>
      </c>
      <c r="I106" s="1" t="s">
        <v>62</v>
      </c>
      <c r="J106" s="1" t="s">
        <v>366</v>
      </c>
      <c r="K106" s="1" t="s">
        <v>13</v>
      </c>
      <c r="M106" t="b">
        <f t="shared" ref="M106:M166" si="6">AND(ISNUMBER(SEARCH($B$7,$H106)),ISNUMBER(SEARCH($C$7,$I106)),ISNUMBER(SEARCH($D$7,$J106)),ISNUMBER(SEARCH($E$7,$K106)))</f>
        <v>1</v>
      </c>
      <c r="N106" s="1">
        <f t="shared" ref="N106:N166" si="7">--(AND(ISNUMBER(SEARCH($B$7,$H106)),ISNUMBER(SEARCH($C$7,$I106)),ISNUMBER(SEARCH($D$7,$J106)),ISNUMBER(SEARCH($E$7,$K106))))</f>
        <v>1</v>
      </c>
    </row>
    <row r="107" spans="1:14">
      <c r="A107" s="1">
        <v>97</v>
      </c>
      <c r="B107" s="82" t="s">
        <v>413</v>
      </c>
      <c r="C107" s="82"/>
      <c r="D107" s="82"/>
      <c r="E107" s="7" t="s">
        <v>9</v>
      </c>
      <c r="F107" s="1" t="s">
        <v>75</v>
      </c>
      <c r="H107" s="1" t="s">
        <v>31</v>
      </c>
      <c r="I107" s="1" t="s">
        <v>17</v>
      </c>
      <c r="J107" s="1" t="s">
        <v>16</v>
      </c>
      <c r="K107" s="1" t="s">
        <v>384</v>
      </c>
      <c r="M107" t="b">
        <f t="shared" si="6"/>
        <v>1</v>
      </c>
      <c r="N107" s="1">
        <f t="shared" si="7"/>
        <v>1</v>
      </c>
    </row>
    <row r="108" spans="1:14">
      <c r="A108" s="1">
        <v>98</v>
      </c>
      <c r="B108" s="82" t="s">
        <v>365</v>
      </c>
      <c r="C108" s="82"/>
      <c r="D108" s="82"/>
      <c r="E108" s="7" t="s">
        <v>172</v>
      </c>
      <c r="F108" s="1" t="s">
        <v>368</v>
      </c>
      <c r="H108" s="1" t="s">
        <v>50</v>
      </c>
      <c r="I108" s="1" t="s">
        <v>5</v>
      </c>
      <c r="J108" s="1" t="s">
        <v>18</v>
      </c>
      <c r="K108" s="1" t="s">
        <v>384</v>
      </c>
      <c r="M108" t="b">
        <f t="shared" si="6"/>
        <v>1</v>
      </c>
      <c r="N108" s="1">
        <f t="shared" si="7"/>
        <v>1</v>
      </c>
    </row>
    <row r="109" spans="1:14">
      <c r="A109" s="1">
        <v>99</v>
      </c>
      <c r="B109" s="82" t="s">
        <v>367</v>
      </c>
      <c r="C109" s="82"/>
      <c r="D109" s="82"/>
      <c r="E109" s="7" t="s">
        <v>172</v>
      </c>
      <c r="F109" s="1" t="s">
        <v>369</v>
      </c>
      <c r="H109" s="1" t="s">
        <v>31</v>
      </c>
      <c r="I109" s="1" t="s">
        <v>5</v>
      </c>
      <c r="J109" s="1" t="s">
        <v>18</v>
      </c>
      <c r="K109" s="1" t="s">
        <v>384</v>
      </c>
      <c r="M109" t="b">
        <f t="shared" si="6"/>
        <v>1</v>
      </c>
      <c r="N109" s="1">
        <f t="shared" si="7"/>
        <v>1</v>
      </c>
    </row>
    <row r="110" spans="1:14">
      <c r="A110" s="1">
        <v>100</v>
      </c>
      <c r="B110" s="82" t="s">
        <v>370</v>
      </c>
      <c r="C110" s="82"/>
      <c r="D110" s="82"/>
      <c r="E110" s="7" t="s">
        <v>172</v>
      </c>
      <c r="F110" s="1" t="s">
        <v>124</v>
      </c>
      <c r="H110" s="1" t="s">
        <v>31</v>
      </c>
      <c r="I110" s="1" t="s">
        <v>5</v>
      </c>
      <c r="J110" s="1" t="s">
        <v>16</v>
      </c>
      <c r="K110" s="1" t="s">
        <v>392</v>
      </c>
      <c r="M110" t="b">
        <f t="shared" si="6"/>
        <v>1</v>
      </c>
      <c r="N110" s="1">
        <f t="shared" si="7"/>
        <v>1</v>
      </c>
    </row>
    <row r="111" spans="1:14">
      <c r="A111" s="1">
        <v>101</v>
      </c>
      <c r="B111" s="82" t="s">
        <v>371</v>
      </c>
      <c r="C111" s="82"/>
      <c r="D111" s="82"/>
      <c r="E111" s="7" t="s">
        <v>372</v>
      </c>
      <c r="F111" s="1" t="s">
        <v>373</v>
      </c>
      <c r="H111" s="1" t="s">
        <v>31</v>
      </c>
      <c r="I111" s="1" t="s">
        <v>5</v>
      </c>
      <c r="J111" s="1" t="s">
        <v>18</v>
      </c>
      <c r="K111" s="1" t="s">
        <v>392</v>
      </c>
      <c r="M111" t="b">
        <f t="shared" si="6"/>
        <v>1</v>
      </c>
      <c r="N111" s="1">
        <f t="shared" si="7"/>
        <v>1</v>
      </c>
    </row>
    <row r="112" spans="1:14">
      <c r="A112" s="1">
        <v>102</v>
      </c>
      <c r="B112" s="82" t="s">
        <v>374</v>
      </c>
      <c r="C112" s="82"/>
      <c r="D112" s="82"/>
      <c r="E112" s="7" t="s">
        <v>372</v>
      </c>
      <c r="F112" s="1" t="s">
        <v>375</v>
      </c>
      <c r="H112" s="1" t="s">
        <v>31</v>
      </c>
      <c r="I112" s="1" t="s">
        <v>62</v>
      </c>
      <c r="J112" s="1" t="s">
        <v>18</v>
      </c>
      <c r="K112" s="1" t="s">
        <v>392</v>
      </c>
      <c r="M112" t="b">
        <f t="shared" si="6"/>
        <v>1</v>
      </c>
      <c r="N112" s="1">
        <f t="shared" si="7"/>
        <v>1</v>
      </c>
    </row>
    <row r="113" spans="1:14">
      <c r="A113" s="1">
        <v>103</v>
      </c>
      <c r="B113" s="82" t="s">
        <v>574</v>
      </c>
      <c r="C113" s="82"/>
      <c r="D113" s="82"/>
      <c r="E113" s="7" t="s">
        <v>372</v>
      </c>
      <c r="F113" s="1" t="s">
        <v>376</v>
      </c>
      <c r="H113" s="1" t="s">
        <v>31</v>
      </c>
      <c r="I113" s="1" t="s">
        <v>5</v>
      </c>
      <c r="J113" s="1" t="s">
        <v>111</v>
      </c>
      <c r="K113" s="1" t="s">
        <v>392</v>
      </c>
      <c r="M113" t="b">
        <f t="shared" si="6"/>
        <v>1</v>
      </c>
      <c r="N113" s="1">
        <f t="shared" si="7"/>
        <v>1</v>
      </c>
    </row>
    <row r="114" spans="1:14">
      <c r="A114" s="1">
        <v>104</v>
      </c>
      <c r="B114" s="82" t="s">
        <v>377</v>
      </c>
      <c r="C114" s="82"/>
      <c r="D114" s="82"/>
      <c r="E114" s="7" t="s">
        <v>372</v>
      </c>
      <c r="F114" s="1" t="s">
        <v>378</v>
      </c>
      <c r="H114" s="1" t="s">
        <v>31</v>
      </c>
      <c r="I114" s="1" t="s">
        <v>5</v>
      </c>
      <c r="J114" s="1" t="s">
        <v>18</v>
      </c>
      <c r="K114" s="1" t="s">
        <v>392</v>
      </c>
      <c r="M114" t="b">
        <f t="shared" si="6"/>
        <v>1</v>
      </c>
      <c r="N114" s="1">
        <f t="shared" si="7"/>
        <v>1</v>
      </c>
    </row>
    <row r="115" spans="1:14">
      <c r="A115" s="1">
        <v>105</v>
      </c>
      <c r="B115" s="82" t="s">
        <v>575</v>
      </c>
      <c r="C115" s="82"/>
      <c r="D115" s="82"/>
      <c r="E115" s="79" t="s">
        <v>372</v>
      </c>
      <c r="F115" s="1" t="s">
        <v>576</v>
      </c>
      <c r="H115" s="1" t="s">
        <v>31</v>
      </c>
      <c r="I115" s="1" t="s">
        <v>17</v>
      </c>
      <c r="J115" s="1" t="s">
        <v>16</v>
      </c>
      <c r="K115" s="1" t="s">
        <v>384</v>
      </c>
      <c r="M115" t="b">
        <f t="shared" si="6"/>
        <v>1</v>
      </c>
      <c r="N115" s="1">
        <f t="shared" si="7"/>
        <v>1</v>
      </c>
    </row>
    <row r="116" spans="1:14">
      <c r="A116" s="1">
        <v>106</v>
      </c>
      <c r="B116" s="82" t="s">
        <v>577</v>
      </c>
      <c r="C116" s="82"/>
      <c r="D116" s="82"/>
      <c r="E116" s="79" t="s">
        <v>372</v>
      </c>
      <c r="F116" s="1" t="s">
        <v>578</v>
      </c>
      <c r="H116" s="1" t="s">
        <v>50</v>
      </c>
      <c r="I116" s="1" t="s">
        <v>62</v>
      </c>
      <c r="J116" s="1" t="s">
        <v>111</v>
      </c>
      <c r="K116" s="1" t="s">
        <v>392</v>
      </c>
      <c r="M116" t="b">
        <f t="shared" si="6"/>
        <v>1</v>
      </c>
      <c r="N116" s="1">
        <f t="shared" si="7"/>
        <v>1</v>
      </c>
    </row>
    <row r="117" spans="1:14">
      <c r="A117" s="1">
        <v>107</v>
      </c>
      <c r="B117" s="82" t="s">
        <v>579</v>
      </c>
      <c r="C117" s="82"/>
      <c r="D117" s="82"/>
      <c r="E117" s="79" t="s">
        <v>580</v>
      </c>
      <c r="F117" s="1" t="s">
        <v>88</v>
      </c>
      <c r="H117" s="1" t="s">
        <v>31</v>
      </c>
      <c r="I117" s="1" t="s">
        <v>62</v>
      </c>
      <c r="J117" s="1" t="s">
        <v>18</v>
      </c>
      <c r="K117" s="1" t="s">
        <v>384</v>
      </c>
      <c r="M117" t="b">
        <f t="shared" si="6"/>
        <v>1</v>
      </c>
      <c r="N117" s="1">
        <f t="shared" si="7"/>
        <v>1</v>
      </c>
    </row>
    <row r="118" spans="1:14">
      <c r="A118" s="1">
        <v>108</v>
      </c>
      <c r="B118" s="82" t="s">
        <v>581</v>
      </c>
      <c r="C118" s="82"/>
      <c r="D118" s="82"/>
      <c r="E118" s="80" t="s">
        <v>372</v>
      </c>
      <c r="F118" s="1" t="s">
        <v>81</v>
      </c>
      <c r="H118" s="1" t="s">
        <v>31</v>
      </c>
      <c r="I118" s="1" t="s">
        <v>5</v>
      </c>
      <c r="J118" s="1" t="s">
        <v>15</v>
      </c>
      <c r="K118" s="1" t="s">
        <v>384</v>
      </c>
      <c r="M118" t="b">
        <f t="shared" si="6"/>
        <v>1</v>
      </c>
      <c r="N118" s="1">
        <f t="shared" si="7"/>
        <v>1</v>
      </c>
    </row>
    <row r="119" spans="1:14">
      <c r="A119" s="1">
        <v>109</v>
      </c>
      <c r="B119" s="82" t="s">
        <v>667</v>
      </c>
      <c r="C119" s="82"/>
      <c r="D119" s="82"/>
      <c r="E119" s="79" t="s">
        <v>9</v>
      </c>
      <c r="F119" s="1" t="s">
        <v>586</v>
      </c>
      <c r="H119" s="1" t="s">
        <v>31</v>
      </c>
      <c r="I119" s="1" t="s">
        <v>5</v>
      </c>
      <c r="J119" s="1" t="s">
        <v>15</v>
      </c>
      <c r="K119" s="1" t="s">
        <v>384</v>
      </c>
      <c r="M119" t="b">
        <f t="shared" si="6"/>
        <v>1</v>
      </c>
      <c r="N119" s="1">
        <f t="shared" si="7"/>
        <v>1</v>
      </c>
    </row>
    <row r="120" spans="1:14">
      <c r="A120" s="1">
        <v>110</v>
      </c>
      <c r="B120" s="82" t="s">
        <v>583</v>
      </c>
      <c r="C120" s="82"/>
      <c r="D120" s="82"/>
      <c r="E120" s="81" t="s">
        <v>372</v>
      </c>
      <c r="F120" s="1" t="s">
        <v>587</v>
      </c>
      <c r="H120" s="1" t="s">
        <v>31</v>
      </c>
      <c r="I120" s="1" t="s">
        <v>5</v>
      </c>
      <c r="J120" s="1" t="s">
        <v>15</v>
      </c>
      <c r="K120" s="1" t="s">
        <v>384</v>
      </c>
      <c r="M120" t="b">
        <f t="shared" si="6"/>
        <v>1</v>
      </c>
      <c r="N120" s="1">
        <f t="shared" si="7"/>
        <v>1</v>
      </c>
    </row>
    <row r="121" spans="1:14">
      <c r="A121" s="1">
        <v>111</v>
      </c>
      <c r="B121" s="82" t="s">
        <v>584</v>
      </c>
      <c r="C121" s="82"/>
      <c r="D121" s="82"/>
      <c r="E121" s="79" t="s">
        <v>372</v>
      </c>
      <c r="F121" s="1" t="s">
        <v>588</v>
      </c>
      <c r="H121" s="1" t="s">
        <v>31</v>
      </c>
      <c r="I121" s="1" t="s">
        <v>5</v>
      </c>
      <c r="J121" s="1" t="s">
        <v>15</v>
      </c>
      <c r="K121" s="1" t="s">
        <v>384</v>
      </c>
      <c r="M121" t="b">
        <f t="shared" si="6"/>
        <v>1</v>
      </c>
      <c r="N121" s="1">
        <f t="shared" si="7"/>
        <v>1</v>
      </c>
    </row>
    <row r="122" spans="1:14">
      <c r="A122" s="1">
        <v>112</v>
      </c>
      <c r="B122" s="82" t="s">
        <v>589</v>
      </c>
      <c r="C122" s="82"/>
      <c r="D122" s="82"/>
      <c r="E122" s="81" t="s">
        <v>372</v>
      </c>
      <c r="F122" s="1" t="s">
        <v>585</v>
      </c>
      <c r="H122" s="1" t="s">
        <v>31</v>
      </c>
      <c r="I122" s="1" t="s">
        <v>5</v>
      </c>
      <c r="J122" s="1" t="s">
        <v>15</v>
      </c>
      <c r="K122" s="1" t="s">
        <v>384</v>
      </c>
      <c r="M122" t="b">
        <f t="shared" si="6"/>
        <v>1</v>
      </c>
      <c r="N122" s="1">
        <f t="shared" si="7"/>
        <v>1</v>
      </c>
    </row>
    <row r="123" spans="1:14">
      <c r="A123" s="1">
        <v>113</v>
      </c>
      <c r="B123" s="82" t="s">
        <v>590</v>
      </c>
      <c r="C123" s="82"/>
      <c r="D123" s="82"/>
      <c r="E123" s="79" t="s">
        <v>372</v>
      </c>
      <c r="F123" s="1" t="s">
        <v>591</v>
      </c>
      <c r="H123" s="1" t="s">
        <v>31</v>
      </c>
      <c r="I123" s="1" t="s">
        <v>5</v>
      </c>
      <c r="J123" s="1" t="s">
        <v>18</v>
      </c>
      <c r="K123" s="1" t="s">
        <v>384</v>
      </c>
      <c r="M123" t="b">
        <f t="shared" si="6"/>
        <v>1</v>
      </c>
      <c r="N123" s="1">
        <f t="shared" si="7"/>
        <v>1</v>
      </c>
    </row>
    <row r="124" spans="1:14">
      <c r="A124" s="1">
        <v>114</v>
      </c>
      <c r="B124" s="82" t="s">
        <v>592</v>
      </c>
      <c r="C124" s="82"/>
      <c r="D124" s="82"/>
      <c r="E124" s="81" t="s">
        <v>372</v>
      </c>
      <c r="F124" s="1" t="s">
        <v>593</v>
      </c>
      <c r="H124" s="1" t="s">
        <v>31</v>
      </c>
      <c r="I124" s="1" t="s">
        <v>5</v>
      </c>
      <c r="J124" s="1" t="s">
        <v>18</v>
      </c>
      <c r="K124" s="1" t="s">
        <v>384</v>
      </c>
      <c r="M124" t="b">
        <f t="shared" si="6"/>
        <v>1</v>
      </c>
      <c r="N124" s="1">
        <f t="shared" si="7"/>
        <v>1</v>
      </c>
    </row>
    <row r="125" spans="1:14">
      <c r="A125" s="1">
        <v>115</v>
      </c>
      <c r="B125" s="82" t="s">
        <v>594</v>
      </c>
      <c r="C125" s="82"/>
      <c r="D125" s="82"/>
      <c r="E125" s="79" t="s">
        <v>172</v>
      </c>
      <c r="F125" s="1" t="s">
        <v>595</v>
      </c>
      <c r="H125" s="1" t="s">
        <v>31</v>
      </c>
      <c r="I125" s="1" t="s">
        <v>5</v>
      </c>
      <c r="J125" s="1" t="s">
        <v>18</v>
      </c>
      <c r="K125" s="1" t="s">
        <v>384</v>
      </c>
      <c r="M125" t="b">
        <f t="shared" si="6"/>
        <v>1</v>
      </c>
      <c r="N125" s="1">
        <f t="shared" si="7"/>
        <v>1</v>
      </c>
    </row>
    <row r="126" spans="1:14">
      <c r="A126" s="1">
        <v>116</v>
      </c>
      <c r="B126" s="82" t="s">
        <v>596</v>
      </c>
      <c r="C126" s="82"/>
      <c r="D126" s="82"/>
      <c r="E126" s="79" t="s">
        <v>172</v>
      </c>
      <c r="F126" s="1" t="s">
        <v>597</v>
      </c>
      <c r="H126" s="1" t="s">
        <v>31</v>
      </c>
      <c r="I126" s="1" t="s">
        <v>5</v>
      </c>
      <c r="J126" s="1" t="s">
        <v>18</v>
      </c>
      <c r="K126" s="1" t="s">
        <v>384</v>
      </c>
      <c r="M126" t="b">
        <f t="shared" si="6"/>
        <v>1</v>
      </c>
      <c r="N126" s="1">
        <f t="shared" si="7"/>
        <v>1</v>
      </c>
    </row>
    <row r="127" spans="1:14">
      <c r="A127" s="1">
        <v>117</v>
      </c>
      <c r="B127" s="82" t="s">
        <v>598</v>
      </c>
      <c r="C127" s="82"/>
      <c r="D127" s="82"/>
      <c r="E127" s="79" t="s">
        <v>172</v>
      </c>
      <c r="F127" s="1" t="s">
        <v>599</v>
      </c>
      <c r="H127" s="1" t="s">
        <v>31</v>
      </c>
      <c r="I127" s="1" t="s">
        <v>5</v>
      </c>
      <c r="J127" s="1" t="s">
        <v>18</v>
      </c>
      <c r="K127" s="1" t="s">
        <v>384</v>
      </c>
      <c r="M127" t="b">
        <f t="shared" si="6"/>
        <v>1</v>
      </c>
      <c r="N127" s="1">
        <f t="shared" si="7"/>
        <v>1</v>
      </c>
    </row>
    <row r="128" spans="1:14">
      <c r="A128" s="1">
        <v>118</v>
      </c>
      <c r="B128" s="82" t="s">
        <v>600</v>
      </c>
      <c r="C128" s="82"/>
      <c r="D128" s="82"/>
      <c r="E128" s="79" t="s">
        <v>172</v>
      </c>
      <c r="F128" s="1" t="s">
        <v>601</v>
      </c>
      <c r="H128" s="1" t="s">
        <v>31</v>
      </c>
      <c r="I128" s="1" t="s">
        <v>5</v>
      </c>
      <c r="J128" s="1" t="s">
        <v>18</v>
      </c>
      <c r="K128" s="1" t="s">
        <v>384</v>
      </c>
      <c r="M128" t="b">
        <f t="shared" si="6"/>
        <v>1</v>
      </c>
      <c r="N128" s="1">
        <f t="shared" si="7"/>
        <v>1</v>
      </c>
    </row>
    <row r="129" spans="1:14">
      <c r="A129" s="1">
        <v>119</v>
      </c>
      <c r="B129" s="82" t="s">
        <v>602</v>
      </c>
      <c r="C129" s="82"/>
      <c r="D129" s="82"/>
      <c r="E129" s="79" t="s">
        <v>172</v>
      </c>
      <c r="F129" s="1" t="s">
        <v>603</v>
      </c>
      <c r="H129" s="1" t="s">
        <v>31</v>
      </c>
      <c r="I129" s="1" t="s">
        <v>5</v>
      </c>
      <c r="J129" s="1" t="s">
        <v>18</v>
      </c>
      <c r="K129" s="1" t="s">
        <v>384</v>
      </c>
      <c r="M129" t="b">
        <f t="shared" si="6"/>
        <v>1</v>
      </c>
      <c r="N129" s="1">
        <f t="shared" si="7"/>
        <v>1</v>
      </c>
    </row>
    <row r="130" spans="1:14">
      <c r="A130" s="1">
        <v>120</v>
      </c>
      <c r="B130" s="82" t="s">
        <v>604</v>
      </c>
      <c r="C130" s="82"/>
      <c r="D130" s="82"/>
      <c r="E130" s="79" t="s">
        <v>172</v>
      </c>
      <c r="F130" s="1" t="s">
        <v>605</v>
      </c>
      <c r="H130" s="1" t="s">
        <v>31</v>
      </c>
      <c r="I130" s="1" t="s">
        <v>5</v>
      </c>
      <c r="J130" s="1" t="s">
        <v>18</v>
      </c>
      <c r="K130" s="1" t="s">
        <v>384</v>
      </c>
      <c r="M130" t="b">
        <f t="shared" si="6"/>
        <v>1</v>
      </c>
      <c r="N130" s="1">
        <f t="shared" si="7"/>
        <v>1</v>
      </c>
    </row>
    <row r="131" spans="1:14">
      <c r="A131" s="1">
        <v>121</v>
      </c>
      <c r="B131" s="82" t="s">
        <v>606</v>
      </c>
      <c r="C131" s="82"/>
      <c r="D131" s="82"/>
      <c r="E131" s="79" t="s">
        <v>372</v>
      </c>
      <c r="F131" s="1" t="s">
        <v>613</v>
      </c>
      <c r="H131" s="1" t="s">
        <v>31</v>
      </c>
      <c r="I131" s="1" t="s">
        <v>5</v>
      </c>
      <c r="J131" s="1" t="s">
        <v>18</v>
      </c>
      <c r="K131" s="1" t="s">
        <v>384</v>
      </c>
      <c r="M131" t="b">
        <f t="shared" si="6"/>
        <v>1</v>
      </c>
      <c r="N131" s="1">
        <f t="shared" si="7"/>
        <v>1</v>
      </c>
    </row>
    <row r="132" spans="1:14">
      <c r="A132" s="1">
        <v>122</v>
      </c>
      <c r="B132" s="82" t="s">
        <v>607</v>
      </c>
      <c r="C132" s="82"/>
      <c r="D132" s="82"/>
      <c r="E132" s="79" t="s">
        <v>372</v>
      </c>
      <c r="F132" s="1" t="s">
        <v>614</v>
      </c>
      <c r="H132" s="1" t="s">
        <v>49</v>
      </c>
      <c r="I132" s="1" t="s">
        <v>5</v>
      </c>
      <c r="J132" s="1" t="s">
        <v>54</v>
      </c>
      <c r="K132" s="1" t="s">
        <v>384</v>
      </c>
      <c r="M132" t="b">
        <f t="shared" si="6"/>
        <v>1</v>
      </c>
      <c r="N132" s="1">
        <f t="shared" si="7"/>
        <v>1</v>
      </c>
    </row>
    <row r="133" spans="1:14">
      <c r="A133" s="1">
        <v>123</v>
      </c>
      <c r="B133" s="82" t="s">
        <v>612</v>
      </c>
      <c r="C133" s="82"/>
      <c r="D133" s="82"/>
      <c r="E133" s="79" t="s">
        <v>372</v>
      </c>
      <c r="F133" s="1" t="s">
        <v>616</v>
      </c>
      <c r="H133" s="1" t="s">
        <v>49</v>
      </c>
      <c r="I133" s="1" t="s">
        <v>5</v>
      </c>
      <c r="J133" s="1" t="s">
        <v>54</v>
      </c>
      <c r="K133" s="1" t="s">
        <v>384</v>
      </c>
      <c r="M133" t="b">
        <f t="shared" si="6"/>
        <v>1</v>
      </c>
      <c r="N133" s="1">
        <f t="shared" si="7"/>
        <v>1</v>
      </c>
    </row>
    <row r="134" spans="1:14">
      <c r="A134" s="1">
        <v>124</v>
      </c>
      <c r="B134" s="82" t="s">
        <v>608</v>
      </c>
      <c r="C134" s="82"/>
      <c r="D134" s="82"/>
      <c r="E134" s="79" t="s">
        <v>372</v>
      </c>
      <c r="F134" s="1" t="s">
        <v>615</v>
      </c>
      <c r="H134" s="1" t="s">
        <v>49</v>
      </c>
      <c r="I134" s="1" t="s">
        <v>5</v>
      </c>
      <c r="J134" s="1" t="s">
        <v>54</v>
      </c>
      <c r="K134" s="1" t="s">
        <v>384</v>
      </c>
      <c r="M134" t="b">
        <f t="shared" si="6"/>
        <v>1</v>
      </c>
      <c r="N134" s="1">
        <f t="shared" si="7"/>
        <v>1</v>
      </c>
    </row>
    <row r="135" spans="1:14">
      <c r="A135" s="1">
        <v>125</v>
      </c>
      <c r="B135" s="82" t="s">
        <v>609</v>
      </c>
      <c r="C135" s="82"/>
      <c r="D135" s="82"/>
      <c r="E135" s="79" t="s">
        <v>372</v>
      </c>
      <c r="F135" s="1" t="s">
        <v>617</v>
      </c>
      <c r="H135" s="1" t="s">
        <v>49</v>
      </c>
      <c r="I135" s="1" t="s">
        <v>5</v>
      </c>
      <c r="J135" s="1" t="s">
        <v>54</v>
      </c>
      <c r="K135" s="1" t="s">
        <v>384</v>
      </c>
      <c r="M135" t="b">
        <f t="shared" si="6"/>
        <v>1</v>
      </c>
      <c r="N135" s="1">
        <f t="shared" si="7"/>
        <v>1</v>
      </c>
    </row>
    <row r="136" spans="1:14">
      <c r="A136" s="1">
        <v>126</v>
      </c>
      <c r="B136" s="82" t="s">
        <v>610</v>
      </c>
      <c r="C136" s="82"/>
      <c r="D136" s="82"/>
      <c r="E136" s="79" t="s">
        <v>372</v>
      </c>
      <c r="F136" s="1" t="s">
        <v>618</v>
      </c>
      <c r="H136" s="1" t="s">
        <v>49</v>
      </c>
      <c r="I136" s="1" t="s">
        <v>5</v>
      </c>
      <c r="J136" s="1" t="s">
        <v>54</v>
      </c>
      <c r="K136" s="1" t="s">
        <v>384</v>
      </c>
      <c r="M136" t="b">
        <f t="shared" si="6"/>
        <v>1</v>
      </c>
      <c r="N136" s="1">
        <f t="shared" si="7"/>
        <v>1</v>
      </c>
    </row>
    <row r="137" spans="1:14">
      <c r="A137" s="1">
        <v>127</v>
      </c>
      <c r="B137" s="82" t="s">
        <v>611</v>
      </c>
      <c r="C137" s="82"/>
      <c r="D137" s="82"/>
      <c r="E137" s="79" t="s">
        <v>372</v>
      </c>
      <c r="F137" s="1" t="s">
        <v>619</v>
      </c>
      <c r="H137" s="1" t="s">
        <v>49</v>
      </c>
      <c r="I137" s="1" t="s">
        <v>5</v>
      </c>
      <c r="J137" s="1" t="s">
        <v>54</v>
      </c>
      <c r="K137" s="1" t="s">
        <v>384</v>
      </c>
      <c r="M137" t="b">
        <f t="shared" si="6"/>
        <v>1</v>
      </c>
      <c r="N137" s="1">
        <f t="shared" si="7"/>
        <v>1</v>
      </c>
    </row>
    <row r="138" spans="1:14">
      <c r="A138" s="1">
        <v>128</v>
      </c>
      <c r="B138" s="82" t="s">
        <v>620</v>
      </c>
      <c r="C138" s="82"/>
      <c r="D138" s="82"/>
      <c r="E138" s="81" t="s">
        <v>623</v>
      </c>
      <c r="F138" s="1" t="s">
        <v>624</v>
      </c>
      <c r="H138" s="1" t="s">
        <v>31</v>
      </c>
      <c r="I138" s="1" t="s">
        <v>5</v>
      </c>
      <c r="J138" s="1" t="s">
        <v>54</v>
      </c>
      <c r="K138" s="1" t="s">
        <v>384</v>
      </c>
      <c r="M138" t="b">
        <f t="shared" si="6"/>
        <v>1</v>
      </c>
      <c r="N138" s="1">
        <f t="shared" si="7"/>
        <v>1</v>
      </c>
    </row>
    <row r="139" spans="1:14">
      <c r="A139" s="1">
        <v>129</v>
      </c>
      <c r="B139" s="82" t="s">
        <v>621</v>
      </c>
      <c r="C139" s="82"/>
      <c r="D139" s="82"/>
      <c r="E139" s="79" t="s">
        <v>372</v>
      </c>
      <c r="F139" s="1" t="s">
        <v>625</v>
      </c>
      <c r="H139" s="1" t="s">
        <v>31</v>
      </c>
      <c r="I139" s="1" t="s">
        <v>5</v>
      </c>
      <c r="J139" s="1" t="s">
        <v>54</v>
      </c>
      <c r="K139" s="1" t="s">
        <v>384</v>
      </c>
      <c r="M139" t="b">
        <f t="shared" si="6"/>
        <v>1</v>
      </c>
      <c r="N139" s="1">
        <f t="shared" si="7"/>
        <v>1</v>
      </c>
    </row>
    <row r="140" spans="1:14">
      <c r="A140" s="1">
        <v>130</v>
      </c>
      <c r="B140" s="82" t="s">
        <v>622</v>
      </c>
      <c r="C140" s="82"/>
      <c r="D140" s="82"/>
      <c r="E140" s="81" t="s">
        <v>372</v>
      </c>
      <c r="F140" s="1" t="s">
        <v>629</v>
      </c>
      <c r="H140" s="1" t="s">
        <v>31</v>
      </c>
      <c r="I140" s="1" t="s">
        <v>5</v>
      </c>
      <c r="J140" s="1" t="s">
        <v>127</v>
      </c>
      <c r="K140" s="1" t="s">
        <v>384</v>
      </c>
      <c r="M140" t="b">
        <f t="shared" si="6"/>
        <v>1</v>
      </c>
      <c r="N140" s="1">
        <f t="shared" si="7"/>
        <v>1</v>
      </c>
    </row>
    <row r="141" spans="1:14">
      <c r="A141" s="1">
        <v>131</v>
      </c>
      <c r="B141" s="82" t="s">
        <v>626</v>
      </c>
      <c r="C141" s="82"/>
      <c r="D141" s="82"/>
      <c r="E141" s="79" t="s">
        <v>372</v>
      </c>
      <c r="F141" s="1" t="s">
        <v>627</v>
      </c>
      <c r="H141" s="1" t="s">
        <v>31</v>
      </c>
      <c r="I141" s="1" t="s">
        <v>5</v>
      </c>
      <c r="J141" s="1" t="s">
        <v>54</v>
      </c>
      <c r="K141" s="1" t="s">
        <v>384</v>
      </c>
      <c r="M141" t="b">
        <f t="shared" si="6"/>
        <v>1</v>
      </c>
      <c r="N141" s="1">
        <f t="shared" si="7"/>
        <v>1</v>
      </c>
    </row>
    <row r="142" spans="1:14">
      <c r="A142" s="1">
        <v>132</v>
      </c>
      <c r="B142" s="82" t="s">
        <v>630</v>
      </c>
      <c r="C142" s="82"/>
      <c r="D142" s="82"/>
      <c r="E142" s="81" t="s">
        <v>372</v>
      </c>
      <c r="F142" s="1" t="s">
        <v>631</v>
      </c>
      <c r="H142" s="1" t="s">
        <v>31</v>
      </c>
      <c r="I142" s="1" t="s">
        <v>5</v>
      </c>
      <c r="J142" s="1" t="s">
        <v>54</v>
      </c>
      <c r="K142" s="1" t="s">
        <v>384</v>
      </c>
      <c r="M142" t="b">
        <f t="shared" si="6"/>
        <v>1</v>
      </c>
      <c r="N142" s="1">
        <f t="shared" si="7"/>
        <v>1</v>
      </c>
    </row>
    <row r="143" spans="1:14">
      <c r="A143" s="1">
        <v>133</v>
      </c>
      <c r="B143" s="82" t="s">
        <v>632</v>
      </c>
      <c r="C143" s="82"/>
      <c r="D143" s="82"/>
      <c r="E143" s="79" t="s">
        <v>372</v>
      </c>
      <c r="F143" s="1" t="s">
        <v>634</v>
      </c>
      <c r="H143" s="1" t="s">
        <v>31</v>
      </c>
      <c r="I143" s="1" t="s">
        <v>5</v>
      </c>
      <c r="J143" s="1" t="s">
        <v>54</v>
      </c>
      <c r="K143" s="1" t="s">
        <v>384</v>
      </c>
      <c r="M143" t="b">
        <f t="shared" si="6"/>
        <v>1</v>
      </c>
      <c r="N143" s="1">
        <f t="shared" si="7"/>
        <v>1</v>
      </c>
    </row>
    <row r="144" spans="1:14">
      <c r="A144" s="1">
        <v>134</v>
      </c>
      <c r="B144" s="82" t="s">
        <v>590</v>
      </c>
      <c r="C144" s="82"/>
      <c r="D144" s="82"/>
      <c r="E144" s="81" t="s">
        <v>9</v>
      </c>
      <c r="F144" s="1" t="s">
        <v>633</v>
      </c>
      <c r="H144" s="1" t="s">
        <v>31</v>
      </c>
      <c r="I144" s="1" t="s">
        <v>5</v>
      </c>
      <c r="J144" s="1" t="s">
        <v>54</v>
      </c>
      <c r="K144" s="1" t="s">
        <v>384</v>
      </c>
      <c r="M144" t="b">
        <f t="shared" si="6"/>
        <v>1</v>
      </c>
      <c r="N144" s="1">
        <f t="shared" si="7"/>
        <v>1</v>
      </c>
    </row>
    <row r="145" spans="1:14">
      <c r="A145" s="1">
        <v>135</v>
      </c>
      <c r="B145" s="82" t="s">
        <v>592</v>
      </c>
      <c r="C145" s="82"/>
      <c r="D145" s="82"/>
      <c r="E145" s="79" t="s">
        <v>372</v>
      </c>
      <c r="F145" s="1" t="s">
        <v>635</v>
      </c>
      <c r="H145" s="1" t="s">
        <v>31</v>
      </c>
      <c r="I145" s="1" t="s">
        <v>17</v>
      </c>
      <c r="J145" s="1" t="s">
        <v>54</v>
      </c>
      <c r="K145" s="1" t="s">
        <v>384</v>
      </c>
      <c r="M145" t="b">
        <f t="shared" si="6"/>
        <v>1</v>
      </c>
      <c r="N145" s="1">
        <f t="shared" si="7"/>
        <v>1</v>
      </c>
    </row>
    <row r="146" spans="1:14">
      <c r="A146" s="1">
        <v>136</v>
      </c>
      <c r="B146" s="82" t="s">
        <v>636</v>
      </c>
      <c r="C146" s="82"/>
      <c r="D146" s="82"/>
      <c r="E146" s="81" t="s">
        <v>372</v>
      </c>
      <c r="F146" s="1" t="s">
        <v>637</v>
      </c>
      <c r="H146" s="1" t="s">
        <v>31</v>
      </c>
      <c r="I146" s="1" t="s">
        <v>5</v>
      </c>
      <c r="J146" s="1" t="s">
        <v>54</v>
      </c>
      <c r="K146" s="1" t="s">
        <v>384</v>
      </c>
      <c r="M146" t="b">
        <f t="shared" si="6"/>
        <v>1</v>
      </c>
      <c r="N146" s="1">
        <f t="shared" si="7"/>
        <v>1</v>
      </c>
    </row>
    <row r="147" spans="1:14">
      <c r="A147" s="1">
        <v>137</v>
      </c>
      <c r="B147" s="82" t="s">
        <v>638</v>
      </c>
      <c r="C147" s="82"/>
      <c r="D147" s="82"/>
      <c r="E147" s="79" t="s">
        <v>372</v>
      </c>
      <c r="F147" s="1" t="s">
        <v>639</v>
      </c>
      <c r="H147" s="1" t="s">
        <v>31</v>
      </c>
      <c r="I147" s="1" t="s">
        <v>5</v>
      </c>
      <c r="J147" s="1" t="s">
        <v>54</v>
      </c>
      <c r="K147" s="1" t="s">
        <v>384</v>
      </c>
      <c r="M147" t="b">
        <f t="shared" si="6"/>
        <v>1</v>
      </c>
      <c r="N147" s="1">
        <f t="shared" si="7"/>
        <v>1</v>
      </c>
    </row>
    <row r="148" spans="1:14">
      <c r="A148" s="1">
        <v>138</v>
      </c>
      <c r="B148" s="82" t="s">
        <v>640</v>
      </c>
      <c r="C148" s="82"/>
      <c r="D148" s="82"/>
      <c r="E148" s="81" t="s">
        <v>372</v>
      </c>
      <c r="F148" s="1" t="s">
        <v>641</v>
      </c>
      <c r="H148" s="1" t="s">
        <v>49</v>
      </c>
      <c r="I148" s="1" t="s">
        <v>62</v>
      </c>
      <c r="J148" s="1" t="s">
        <v>642</v>
      </c>
      <c r="K148" s="1" t="s">
        <v>384</v>
      </c>
      <c r="M148" t="b">
        <f t="shared" si="6"/>
        <v>1</v>
      </c>
      <c r="N148" s="1">
        <f t="shared" si="7"/>
        <v>1</v>
      </c>
    </row>
    <row r="149" spans="1:14">
      <c r="A149" s="1">
        <v>139</v>
      </c>
      <c r="B149" s="82" t="s">
        <v>643</v>
      </c>
      <c r="C149" s="82"/>
      <c r="D149" s="82"/>
      <c r="E149" s="79" t="s">
        <v>372</v>
      </c>
      <c r="F149" s="1" t="s">
        <v>644</v>
      </c>
      <c r="H149" s="1" t="s">
        <v>31</v>
      </c>
      <c r="I149" s="1" t="s">
        <v>62</v>
      </c>
      <c r="J149" s="1" t="s">
        <v>127</v>
      </c>
      <c r="K149" s="1" t="s">
        <v>384</v>
      </c>
      <c r="M149" t="b">
        <f t="shared" si="6"/>
        <v>1</v>
      </c>
      <c r="N149" s="1">
        <f t="shared" si="7"/>
        <v>1</v>
      </c>
    </row>
    <row r="150" spans="1:14">
      <c r="A150" s="1">
        <v>140</v>
      </c>
      <c r="B150" s="82" t="s">
        <v>645</v>
      </c>
      <c r="C150" s="82"/>
      <c r="D150" s="82"/>
      <c r="E150" s="81" t="s">
        <v>372</v>
      </c>
      <c r="F150" s="1" t="s">
        <v>646</v>
      </c>
      <c r="H150" s="1" t="s">
        <v>31</v>
      </c>
      <c r="I150" s="1" t="s">
        <v>62</v>
      </c>
      <c r="J150" s="1" t="s">
        <v>127</v>
      </c>
      <c r="K150" s="1" t="s">
        <v>384</v>
      </c>
      <c r="M150" t="b">
        <f t="shared" si="6"/>
        <v>1</v>
      </c>
      <c r="N150" s="1">
        <f t="shared" si="7"/>
        <v>1</v>
      </c>
    </row>
    <row r="151" spans="1:14">
      <c r="A151" s="1">
        <v>141</v>
      </c>
      <c r="B151" s="82" t="s">
        <v>647</v>
      </c>
      <c r="C151" s="82"/>
      <c r="D151" s="82"/>
      <c r="E151" s="79" t="s">
        <v>372</v>
      </c>
      <c r="F151" s="1" t="s">
        <v>648</v>
      </c>
      <c r="H151" s="1" t="s">
        <v>31</v>
      </c>
      <c r="I151" s="1" t="s">
        <v>62</v>
      </c>
      <c r="J151" s="1" t="s">
        <v>127</v>
      </c>
      <c r="K151" s="1" t="s">
        <v>384</v>
      </c>
      <c r="M151" t="b">
        <f t="shared" si="6"/>
        <v>1</v>
      </c>
      <c r="N151" s="1">
        <f t="shared" si="7"/>
        <v>1</v>
      </c>
    </row>
    <row r="152" spans="1:14">
      <c r="A152" s="1">
        <v>142</v>
      </c>
      <c r="B152" s="82" t="s">
        <v>649</v>
      </c>
      <c r="C152" s="82"/>
      <c r="D152" s="82"/>
      <c r="E152" s="81" t="s">
        <v>372</v>
      </c>
      <c r="F152" s="1" t="s">
        <v>650</v>
      </c>
      <c r="H152" s="1" t="s">
        <v>31</v>
      </c>
      <c r="I152" s="1" t="s">
        <v>62</v>
      </c>
      <c r="J152" s="1" t="s">
        <v>127</v>
      </c>
      <c r="K152" s="1" t="s">
        <v>384</v>
      </c>
      <c r="M152" t="b">
        <f t="shared" si="6"/>
        <v>1</v>
      </c>
      <c r="N152" s="1">
        <f t="shared" si="7"/>
        <v>1</v>
      </c>
    </row>
    <row r="153" spans="1:14">
      <c r="A153" s="1">
        <v>143</v>
      </c>
      <c r="B153" s="82" t="s">
        <v>651</v>
      </c>
      <c r="C153" s="82"/>
      <c r="D153" s="82"/>
      <c r="E153" s="79" t="s">
        <v>372</v>
      </c>
      <c r="F153" s="1" t="s">
        <v>652</v>
      </c>
      <c r="H153" s="1" t="s">
        <v>31</v>
      </c>
      <c r="I153" s="1" t="s">
        <v>62</v>
      </c>
      <c r="J153" s="1" t="s">
        <v>127</v>
      </c>
      <c r="K153" s="1" t="s">
        <v>384</v>
      </c>
      <c r="M153" t="b">
        <f t="shared" si="6"/>
        <v>1</v>
      </c>
      <c r="N153" s="1">
        <f t="shared" si="7"/>
        <v>1</v>
      </c>
    </row>
    <row r="154" spans="1:14">
      <c r="A154" s="1">
        <v>144</v>
      </c>
      <c r="B154" s="82" t="s">
        <v>653</v>
      </c>
      <c r="C154" s="82"/>
      <c r="D154" s="82"/>
      <c r="E154" s="81" t="s">
        <v>372</v>
      </c>
      <c r="F154" s="1" t="s">
        <v>654</v>
      </c>
      <c r="H154" s="1" t="s">
        <v>31</v>
      </c>
      <c r="I154" s="1" t="s">
        <v>62</v>
      </c>
      <c r="J154" s="1" t="s">
        <v>126</v>
      </c>
      <c r="K154" s="1" t="s">
        <v>384</v>
      </c>
      <c r="M154" t="b">
        <f t="shared" si="6"/>
        <v>1</v>
      </c>
      <c r="N154" s="1">
        <f t="shared" si="7"/>
        <v>1</v>
      </c>
    </row>
    <row r="155" spans="1:14">
      <c r="A155" s="1">
        <v>145</v>
      </c>
      <c r="B155" s="82" t="s">
        <v>655</v>
      </c>
      <c r="C155" s="82"/>
      <c r="D155" s="82"/>
      <c r="E155" s="79" t="s">
        <v>372</v>
      </c>
      <c r="F155" s="1" t="s">
        <v>656</v>
      </c>
      <c r="H155" s="1" t="s">
        <v>31</v>
      </c>
      <c r="I155" s="1" t="s">
        <v>62</v>
      </c>
      <c r="J155" s="1" t="s">
        <v>126</v>
      </c>
      <c r="K155" s="1" t="s">
        <v>384</v>
      </c>
      <c r="M155" t="b">
        <f t="shared" si="6"/>
        <v>1</v>
      </c>
      <c r="N155" s="1">
        <f t="shared" si="7"/>
        <v>1</v>
      </c>
    </row>
    <row r="156" spans="1:14">
      <c r="A156" s="1">
        <v>146</v>
      </c>
      <c r="B156" s="82" t="s">
        <v>657</v>
      </c>
      <c r="C156" s="82"/>
      <c r="D156" s="82"/>
      <c r="E156" s="81" t="s">
        <v>372</v>
      </c>
      <c r="F156" s="1" t="s">
        <v>658</v>
      </c>
      <c r="H156" s="1" t="s">
        <v>31</v>
      </c>
      <c r="I156" s="1" t="s">
        <v>62</v>
      </c>
      <c r="J156" s="1" t="s">
        <v>127</v>
      </c>
      <c r="K156" s="1" t="s">
        <v>384</v>
      </c>
      <c r="M156" t="b">
        <f t="shared" si="6"/>
        <v>1</v>
      </c>
      <c r="N156" s="1">
        <f t="shared" si="7"/>
        <v>1</v>
      </c>
    </row>
    <row r="157" spans="1:14">
      <c r="A157" s="1">
        <v>147</v>
      </c>
      <c r="B157" s="82" t="s">
        <v>659</v>
      </c>
      <c r="C157" s="82"/>
      <c r="D157" s="82"/>
      <c r="E157" s="79" t="s">
        <v>372</v>
      </c>
      <c r="F157" s="1" t="s">
        <v>660</v>
      </c>
      <c r="H157" s="1" t="s">
        <v>31</v>
      </c>
      <c r="I157" s="1" t="s">
        <v>62</v>
      </c>
      <c r="J157" s="1" t="s">
        <v>127</v>
      </c>
      <c r="K157" s="1" t="s">
        <v>384</v>
      </c>
      <c r="M157" t="b">
        <f t="shared" si="6"/>
        <v>1</v>
      </c>
      <c r="N157" s="1">
        <f t="shared" si="7"/>
        <v>1</v>
      </c>
    </row>
    <row r="158" spans="1:14">
      <c r="A158" s="1">
        <v>148</v>
      </c>
      <c r="B158" s="82" t="s">
        <v>661</v>
      </c>
      <c r="C158" s="82"/>
      <c r="D158" s="82"/>
      <c r="E158" s="81" t="s">
        <v>372</v>
      </c>
      <c r="F158" s="1" t="s">
        <v>662</v>
      </c>
      <c r="H158" s="1" t="s">
        <v>31</v>
      </c>
      <c r="I158" s="1" t="s">
        <v>62</v>
      </c>
      <c r="J158" s="1" t="s">
        <v>127</v>
      </c>
      <c r="K158" s="1" t="s">
        <v>384</v>
      </c>
      <c r="M158" t="b">
        <f t="shared" si="6"/>
        <v>1</v>
      </c>
      <c r="N158" s="1">
        <f t="shared" si="7"/>
        <v>1</v>
      </c>
    </row>
    <row r="159" spans="1:14">
      <c r="A159" s="1">
        <v>149</v>
      </c>
      <c r="B159" s="82" t="s">
        <v>663</v>
      </c>
      <c r="C159" s="82"/>
      <c r="D159" s="82"/>
      <c r="E159" s="79" t="s">
        <v>372</v>
      </c>
      <c r="F159" s="1" t="s">
        <v>664</v>
      </c>
      <c r="H159" s="1" t="s">
        <v>49</v>
      </c>
      <c r="I159" s="1" t="s">
        <v>62</v>
      </c>
      <c r="J159" s="1" t="s">
        <v>20</v>
      </c>
      <c r="K159" s="1" t="s">
        <v>384</v>
      </c>
      <c r="M159" t="b">
        <f t="shared" si="6"/>
        <v>1</v>
      </c>
      <c r="N159" s="1">
        <f t="shared" si="7"/>
        <v>1</v>
      </c>
    </row>
    <row r="160" spans="1:14">
      <c r="A160" s="1">
        <v>150</v>
      </c>
      <c r="B160" s="82" t="s">
        <v>665</v>
      </c>
      <c r="C160" s="82"/>
      <c r="D160" s="82"/>
      <c r="E160" s="81" t="s">
        <v>372</v>
      </c>
      <c r="F160" s="1" t="s">
        <v>666</v>
      </c>
      <c r="H160" s="1" t="s">
        <v>49</v>
      </c>
      <c r="I160" s="1" t="s">
        <v>62</v>
      </c>
      <c r="J160" s="1" t="s">
        <v>20</v>
      </c>
      <c r="K160" s="1" t="s">
        <v>384</v>
      </c>
      <c r="M160" t="b">
        <f t="shared" si="6"/>
        <v>1</v>
      </c>
      <c r="N160" s="1">
        <f t="shared" si="7"/>
        <v>1</v>
      </c>
    </row>
    <row r="161" spans="1:14">
      <c r="A161" s="1">
        <v>151</v>
      </c>
      <c r="B161" s="82" t="s">
        <v>668</v>
      </c>
      <c r="C161" s="82"/>
      <c r="D161" s="82"/>
      <c r="E161" s="81" t="s">
        <v>372</v>
      </c>
      <c r="F161" s="1" t="s">
        <v>672</v>
      </c>
      <c r="H161" s="1" t="s">
        <v>49</v>
      </c>
      <c r="I161" s="1" t="s">
        <v>62</v>
      </c>
      <c r="J161" s="1" t="s">
        <v>54</v>
      </c>
      <c r="K161" s="1" t="s">
        <v>384</v>
      </c>
      <c r="M161" t="b">
        <f t="shared" si="6"/>
        <v>1</v>
      </c>
      <c r="N161" s="1">
        <f t="shared" si="7"/>
        <v>1</v>
      </c>
    </row>
    <row r="162" spans="1:14">
      <c r="A162" s="1">
        <v>152</v>
      </c>
      <c r="B162" s="82" t="s">
        <v>669</v>
      </c>
      <c r="C162" s="82"/>
      <c r="D162" s="82"/>
      <c r="E162" s="81" t="s">
        <v>675</v>
      </c>
      <c r="F162" s="1" t="s">
        <v>673</v>
      </c>
      <c r="H162" s="1" t="s">
        <v>49</v>
      </c>
      <c r="I162" s="1" t="s">
        <v>62</v>
      </c>
      <c r="J162" s="1" t="s">
        <v>54</v>
      </c>
      <c r="K162" s="1" t="s">
        <v>384</v>
      </c>
      <c r="M162" t="b">
        <f t="shared" si="6"/>
        <v>1</v>
      </c>
      <c r="N162" s="1">
        <f t="shared" si="7"/>
        <v>1</v>
      </c>
    </row>
    <row r="163" spans="1:14">
      <c r="A163" s="1">
        <v>153</v>
      </c>
      <c r="B163" s="82" t="s">
        <v>670</v>
      </c>
      <c r="C163" s="82"/>
      <c r="D163" s="82"/>
      <c r="E163" s="81" t="s">
        <v>675</v>
      </c>
      <c r="F163" s="1" t="s">
        <v>674</v>
      </c>
      <c r="H163" s="1" t="s">
        <v>49</v>
      </c>
      <c r="I163" s="1" t="s">
        <v>62</v>
      </c>
      <c r="J163" s="1" t="s">
        <v>54</v>
      </c>
      <c r="K163" s="1" t="s">
        <v>384</v>
      </c>
      <c r="M163" t="b">
        <f t="shared" si="6"/>
        <v>1</v>
      </c>
      <c r="N163" s="1">
        <f t="shared" si="7"/>
        <v>1</v>
      </c>
    </row>
    <row r="164" spans="1:14">
      <c r="A164" s="1">
        <v>154</v>
      </c>
      <c r="B164" s="82" t="s">
        <v>671</v>
      </c>
      <c r="C164" s="82"/>
      <c r="D164" s="82"/>
      <c r="E164" s="81" t="s">
        <v>675</v>
      </c>
      <c r="F164" s="1" t="s">
        <v>672</v>
      </c>
      <c r="H164" s="1" t="s">
        <v>49</v>
      </c>
      <c r="I164" s="1" t="s">
        <v>62</v>
      </c>
      <c r="J164" s="1" t="s">
        <v>54</v>
      </c>
      <c r="K164" s="1" t="s">
        <v>384</v>
      </c>
      <c r="M164" t="b">
        <f t="shared" si="6"/>
        <v>1</v>
      </c>
      <c r="N164" s="1">
        <f t="shared" si="7"/>
        <v>1</v>
      </c>
    </row>
    <row r="165" spans="1:14">
      <c r="A165" s="1">
        <v>154</v>
      </c>
      <c r="B165" s="82" t="s">
        <v>676</v>
      </c>
      <c r="C165" s="82"/>
      <c r="D165" s="82"/>
      <c r="E165" s="81" t="s">
        <v>675</v>
      </c>
      <c r="F165" s="1" t="s">
        <v>677</v>
      </c>
      <c r="H165" s="1" t="s">
        <v>49</v>
      </c>
      <c r="I165" s="1" t="s">
        <v>62</v>
      </c>
      <c r="J165" s="1" t="s">
        <v>54</v>
      </c>
      <c r="K165" s="1" t="s">
        <v>384</v>
      </c>
      <c r="M165" t="b">
        <f t="shared" si="6"/>
        <v>1</v>
      </c>
      <c r="N165" s="1">
        <f t="shared" si="7"/>
        <v>1</v>
      </c>
    </row>
    <row r="166" spans="1:14">
      <c r="A166" s="1">
        <v>154</v>
      </c>
      <c r="B166" s="82" t="s">
        <v>678</v>
      </c>
      <c r="C166" s="82"/>
      <c r="D166" s="82"/>
      <c r="E166" s="81" t="s">
        <v>372</v>
      </c>
      <c r="F166" s="1" t="s">
        <v>679</v>
      </c>
      <c r="H166" s="1" t="s">
        <v>31</v>
      </c>
      <c r="I166" s="1" t="s">
        <v>62</v>
      </c>
      <c r="J166" s="1" t="s">
        <v>54</v>
      </c>
      <c r="K166" s="1" t="s">
        <v>384</v>
      </c>
      <c r="M166" t="b">
        <f t="shared" si="6"/>
        <v>1</v>
      </c>
      <c r="N166" s="1">
        <f t="shared" si="7"/>
        <v>1</v>
      </c>
    </row>
  </sheetData>
  <sheetProtection algorithmName="SHA-512" hashValue="CTCAuG+076GpR9PsSOsNQcs5Pct3DIRyJ6ep9BipyxLAeMMNzjjGrTbqQU3IJbnuC73wt/blI6nvJemb+nhPfg==" saltValue="n4TRdhhwMT1AkkfjMEZZJQ==" spinCount="100000" sheet="1" sort="0" autoFilter="0"/>
  <autoFilter ref="A10:F160" xr:uid="{C09A600A-56FC-4165-8BAB-D62224416FCA}">
    <filterColumn colId="1" showButton="0"/>
    <filterColumn colId="2" showButton="0"/>
  </autoFilter>
  <mergeCells count="161">
    <mergeCell ref="B166:D166"/>
    <mergeCell ref="B4:D4"/>
    <mergeCell ref="B2:D2"/>
    <mergeCell ref="B3:D3"/>
    <mergeCell ref="B118:D118"/>
    <mergeCell ref="B113:D113"/>
    <mergeCell ref="B114:D114"/>
    <mergeCell ref="B115:D115"/>
    <mergeCell ref="B116:D116"/>
    <mergeCell ref="B117:D117"/>
    <mergeCell ref="B108:D108"/>
    <mergeCell ref="B109:D109"/>
    <mergeCell ref="B110:D110"/>
    <mergeCell ref="B111:D111"/>
    <mergeCell ref="B112:D112"/>
    <mergeCell ref="B101:D101"/>
    <mergeCell ref="B107:D107"/>
    <mergeCell ref="B102:D102"/>
    <mergeCell ref="B103:D103"/>
    <mergeCell ref="B104:D104"/>
    <mergeCell ref="B105:D105"/>
    <mergeCell ref="B106:D106"/>
    <mergeCell ref="B96:D96"/>
    <mergeCell ref="B97:D97"/>
    <mergeCell ref="B98:D98"/>
    <mergeCell ref="B15:D15"/>
    <mergeCell ref="B16:D16"/>
    <mergeCell ref="B17:D17"/>
    <mergeCell ref="B35:D35"/>
    <mergeCell ref="B60:D60"/>
    <mergeCell ref="B43:D43"/>
    <mergeCell ref="B42:D42"/>
    <mergeCell ref="B61:D61"/>
    <mergeCell ref="B36:D36"/>
    <mergeCell ref="B37:D37"/>
    <mergeCell ref="B38:D38"/>
    <mergeCell ref="B39:D39"/>
    <mergeCell ref="B44:D44"/>
    <mergeCell ref="B45:D45"/>
    <mergeCell ref="B50:D50"/>
    <mergeCell ref="B51:D51"/>
    <mergeCell ref="B30:D30"/>
    <mergeCell ref="B32:D32"/>
    <mergeCell ref="B81:D81"/>
    <mergeCell ref="B27:D27"/>
    <mergeCell ref="B28:D28"/>
    <mergeCell ref="B22:D22"/>
    <mergeCell ref="B71:D71"/>
    <mergeCell ref="B72:D72"/>
    <mergeCell ref="B73:D73"/>
    <mergeCell ref="B74:D74"/>
    <mergeCell ref="B75:D75"/>
    <mergeCell ref="B66:D66"/>
    <mergeCell ref="B48:D48"/>
    <mergeCell ref="B49:D49"/>
    <mergeCell ref="B33:D33"/>
    <mergeCell ref="B34:D34"/>
    <mergeCell ref="B24:D24"/>
    <mergeCell ref="B25:D25"/>
    <mergeCell ref="B26:D26"/>
    <mergeCell ref="B70:D70"/>
    <mergeCell ref="B69:D69"/>
    <mergeCell ref="B67:D67"/>
    <mergeCell ref="B12:D12"/>
    <mergeCell ref="B13:D13"/>
    <mergeCell ref="B18:D18"/>
    <mergeCell ref="B19:D19"/>
    <mergeCell ref="B20:D20"/>
    <mergeCell ref="B21:D21"/>
    <mergeCell ref="B31:D31"/>
    <mergeCell ref="B10:D10"/>
    <mergeCell ref="B29:D29"/>
    <mergeCell ref="B23:D23"/>
    <mergeCell ref="B14:D14"/>
    <mergeCell ref="B99:D99"/>
    <mergeCell ref="B100:D100"/>
    <mergeCell ref="B91:D91"/>
    <mergeCell ref="B92:D92"/>
    <mergeCell ref="B93:D93"/>
    <mergeCell ref="B94:D94"/>
    <mergeCell ref="B95:D95"/>
    <mergeCell ref="G5:G6"/>
    <mergeCell ref="B65:D65"/>
    <mergeCell ref="B52:D52"/>
    <mergeCell ref="B53:D53"/>
    <mergeCell ref="B46:D46"/>
    <mergeCell ref="B47:D47"/>
    <mergeCell ref="B40:D40"/>
    <mergeCell ref="B41:D41"/>
    <mergeCell ref="B63:D63"/>
    <mergeCell ref="B64:D64"/>
    <mergeCell ref="B54:D54"/>
    <mergeCell ref="B55:D55"/>
    <mergeCell ref="B56:D56"/>
    <mergeCell ref="B57:D57"/>
    <mergeCell ref="B58:D58"/>
    <mergeCell ref="B59:D59"/>
    <mergeCell ref="B11:D11"/>
    <mergeCell ref="B126:D126"/>
    <mergeCell ref="B76:D76"/>
    <mergeCell ref="B77:D77"/>
    <mergeCell ref="B78:D78"/>
    <mergeCell ref="B79:D79"/>
    <mergeCell ref="B80:D80"/>
    <mergeCell ref="B62:D62"/>
    <mergeCell ref="B86:D86"/>
    <mergeCell ref="B87:D87"/>
    <mergeCell ref="B88:D88"/>
    <mergeCell ref="B89:D89"/>
    <mergeCell ref="B90:D90"/>
    <mergeCell ref="B82:D82"/>
    <mergeCell ref="B83:D83"/>
    <mergeCell ref="B84:D84"/>
    <mergeCell ref="B85:D85"/>
    <mergeCell ref="B119:D119"/>
    <mergeCell ref="B120:D120"/>
    <mergeCell ref="B121:D121"/>
    <mergeCell ref="B122:D122"/>
    <mergeCell ref="B123:D123"/>
    <mergeCell ref="B124:D124"/>
    <mergeCell ref="B125:D125"/>
    <mergeCell ref="B68:D68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65:D165"/>
    <mergeCell ref="B145:D145"/>
    <mergeCell ref="B155:D155"/>
    <mergeCell ref="B156:D156"/>
    <mergeCell ref="B157:D157"/>
    <mergeCell ref="B158:D158"/>
    <mergeCell ref="B159:D159"/>
    <mergeCell ref="B160:D160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61:D161"/>
    <mergeCell ref="B162:D162"/>
    <mergeCell ref="B163:D163"/>
    <mergeCell ref="B164:D164"/>
  </mergeCells>
  <phoneticPr fontId="7" type="noConversion"/>
  <conditionalFormatting sqref="B11:F118 B119 E119 F119:F122 B120:E122">
    <cfRule type="expression" dxfId="1" priority="7">
      <formula>$N11&gt;=1</formula>
    </cfRule>
  </conditionalFormatting>
  <conditionalFormatting sqref="B123:F166">
    <cfRule type="expression" dxfId="0" priority="1">
      <formula>$N123&gt;=1</formula>
    </cfRule>
  </conditionalFormatting>
  <dataValidations count="4">
    <dataValidation type="list" allowBlank="1" showInputMessage="1" showErrorMessage="1" sqref="C7" xr:uid="{E13DE837-0065-4F47-83BB-0EBA8049388B}">
      <formula1>$O$22:$O$24</formula1>
    </dataValidation>
    <dataValidation type="list" allowBlank="1" showInputMessage="1" showErrorMessage="1" sqref="D7" xr:uid="{68F729AA-E656-4718-81D5-FDE30743C32F}">
      <formula1>$O$29:$O$35</formula1>
    </dataValidation>
    <dataValidation type="list" allowBlank="1" showInputMessage="1" showErrorMessage="1" sqref="B7" xr:uid="{06B13F96-D072-453F-9D3A-6021B701641A}">
      <formula1>$O$12:$O$15</formula1>
    </dataValidation>
    <dataValidation type="list" allowBlank="1" showInputMessage="1" showErrorMessage="1" sqref="E7" xr:uid="{80A5C624-BE40-4AC0-B913-6A61ECA5244A}">
      <formula1>$O$37:$O$41</formula1>
    </dataValidation>
  </dataValidations>
  <hyperlinks>
    <hyperlink ref="E48" r:id="rId1" xr:uid="{2C4E9101-C05D-43CF-9D8C-13CD9FBDBEAF}"/>
    <hyperlink ref="E49" r:id="rId2" xr:uid="{87C45056-369D-4958-B5B4-41F22B3C1DA0}"/>
    <hyperlink ref="E50" r:id="rId3" xr:uid="{45357E6F-0918-44CC-B400-8C70722C7EFE}"/>
    <hyperlink ref="E51" r:id="rId4" xr:uid="{158CACC1-BE5F-4062-8B07-E98C6992D5D9}"/>
    <hyperlink ref="E52" r:id="rId5" xr:uid="{1ED4F381-35E5-4056-8ADF-5A03DB6F234B}"/>
    <hyperlink ref="E53" r:id="rId6" xr:uid="{190F5570-5868-4D17-A494-779DE9CE2092}"/>
    <hyperlink ref="E54" r:id="rId7" xr:uid="{BD411953-EA56-4D29-A4C2-32A195748EA0}"/>
    <hyperlink ref="E55" r:id="rId8" xr:uid="{2FB931C1-4EDB-438A-B9B3-CEB158F24324}"/>
    <hyperlink ref="E56" r:id="rId9" xr:uid="{2F2281D0-1AFA-4BFC-910A-0F260AD41C63}"/>
    <hyperlink ref="E57" r:id="rId10" xr:uid="{66281F96-1B9D-47C2-A2C3-CBCBA896A558}"/>
    <hyperlink ref="E58" r:id="rId11" xr:uid="{37B8C37A-213A-49BE-B391-021906B8F0C6}"/>
    <hyperlink ref="E38" r:id="rId12" xr:uid="{56BA9A57-A8E7-4B1D-8DE1-E7357BE2C468}"/>
    <hyperlink ref="E36" r:id="rId13" xr:uid="{20271D15-E2C9-42AB-B055-DD9C075D151A}"/>
    <hyperlink ref="E46" r:id="rId14" xr:uid="{C81B785F-2B21-4F37-BC23-F3E8A0899A79}"/>
    <hyperlink ref="E42" r:id="rId15" xr:uid="{FAB0FA88-5444-47D8-A6C2-98F7D865585C}"/>
    <hyperlink ref="E28" r:id="rId16" xr:uid="{6CB888CE-ED7E-4AAB-8A8E-D8DE70A26C31}"/>
    <hyperlink ref="E27" r:id="rId17" xr:uid="{B6B270FA-5F1C-40C5-8E3F-BB119D984EAC}"/>
    <hyperlink ref="E22" r:id="rId18" xr:uid="{9EC91DD2-095D-4B53-B90A-A833004EAC1F}"/>
    <hyperlink ref="E37" r:id="rId19" xr:uid="{6A549096-CDFF-42BE-866C-77A5CD8A18AA}"/>
    <hyperlink ref="E12" r:id="rId20" xr:uid="{6E9F8475-F800-4944-8ABA-FB26CAA4E03E}"/>
    <hyperlink ref="E32" r:id="rId21" xr:uid="{99402835-B41E-4409-8709-32CA6714AB52}"/>
    <hyperlink ref="E30" r:id="rId22" xr:uid="{97FB49EC-4C50-4E61-8CE7-BC6B3066B811}"/>
    <hyperlink ref="E25" r:id="rId23" xr:uid="{D3F3CF95-34BB-40F3-8F66-122CA89C8E26}"/>
    <hyperlink ref="E11" r:id="rId24" xr:uid="{EA25C5DC-4B4A-4A82-B698-4EC24507A41A}"/>
    <hyperlink ref="E35" r:id="rId25" xr:uid="{A6FB6B28-FFE1-420E-9649-3B250963A7E7}"/>
    <hyperlink ref="E29" r:id="rId26" xr:uid="{A3BDF2A4-86B7-490E-AA22-1B76811F8926}"/>
    <hyperlink ref="E24" r:id="rId27" xr:uid="{E5D20CA8-E38A-4B6E-ADA3-F01DAF56EEFD}"/>
    <hyperlink ref="E17" r:id="rId28" xr:uid="{C3BB6A2E-5531-4455-A237-624741D0796B}"/>
    <hyperlink ref="E19" r:id="rId29" xr:uid="{0A932271-6059-4E6C-A0CB-CE18F0283496}"/>
    <hyperlink ref="E15" r:id="rId30" xr:uid="{C51A7481-C7C7-4D29-8CBE-B177722A1B9F}"/>
    <hyperlink ref="E14" r:id="rId31" xr:uid="{396A1E6F-45D1-4172-BDEF-3608F9612617}"/>
    <hyperlink ref="E34" r:id="rId32" xr:uid="{FC289AC4-26B2-4ED6-9B5A-A91B74CBE98F}"/>
    <hyperlink ref="E33" r:id="rId33" xr:uid="{4EE7F7CE-9DFD-4A1E-8B5F-08CCDD2598B7}"/>
    <hyperlink ref="E18" r:id="rId34" xr:uid="{A8A1E56B-F1A6-4F2A-9C82-D89337EB36CE}"/>
    <hyperlink ref="E13" r:id="rId35" xr:uid="{7B6EA905-4545-4C5F-80A1-C16FAC4C8D86}"/>
    <hyperlink ref="E31" r:id="rId36" xr:uid="{77670F00-5DA1-4D11-A249-C542B3CD4B92}"/>
    <hyperlink ref="E21" r:id="rId37" xr:uid="{67DD6C57-65E4-41E1-8F97-435FBF7E1380}"/>
    <hyperlink ref="E26" r:id="rId38" xr:uid="{0B1EDC00-D795-4A35-8114-2214538F15AA}"/>
    <hyperlink ref="E23" r:id="rId39" xr:uid="{7A4DCAA7-3E34-4A04-845F-F2C794C4294B}"/>
    <hyperlink ref="E20" r:id="rId40" xr:uid="{ABF254D9-AC06-4D8F-B368-C74445BCC1EC}"/>
    <hyperlink ref="E39" r:id="rId41" xr:uid="{DF59C733-197A-4B66-AC90-259B49F59597}"/>
    <hyperlink ref="E43" r:id="rId42" xr:uid="{C57A8F36-7CCA-4C2C-9152-C6A11257A4E6}"/>
    <hyperlink ref="E67" r:id="rId43" xr:uid="{1717A0B1-AF57-4F50-9849-4CE07CB80F51}"/>
    <hyperlink ref="E66" r:id="rId44" xr:uid="{130F7C23-3E5D-4475-BA13-F2783984BE73}"/>
    <hyperlink ref="E68" r:id="rId45" xr:uid="{FC5C365A-CB4C-4D37-A4FD-44D35091D899}"/>
    <hyperlink ref="E69" r:id="rId46" xr:uid="{A8B46092-A9E3-4954-B0FF-08E3084072E6}"/>
    <hyperlink ref="E70" r:id="rId47" xr:uid="{EB3ED215-2722-42CD-9ADA-348D7586B199}"/>
    <hyperlink ref="E47" r:id="rId48" xr:uid="{391BDF0A-B763-4316-8F89-7D851BBB1798}"/>
    <hyperlink ref="E41" r:id="rId49" xr:uid="{AC2B8AA8-E7D5-4FEB-B5C1-F5C48B42A436}"/>
    <hyperlink ref="E78" r:id="rId50" xr:uid="{41C967AF-8037-47CE-9A7E-BDD3823E4BE9}"/>
    <hyperlink ref="E79" r:id="rId51" xr:uid="{6750DB32-B791-4B6B-B959-875ED8958022}"/>
    <hyperlink ref="E45" r:id="rId52" xr:uid="{D7604053-234D-49ED-B6A6-08DF587DF61B}"/>
    <hyperlink ref="E82" r:id="rId53" xr:uid="{C96A2F7E-1042-4535-A477-7194371D2E52}"/>
    <hyperlink ref="E83" r:id="rId54" xr:uid="{31926F6F-C438-4CD3-BDC1-389252841B98}"/>
    <hyperlink ref="E84" r:id="rId55" xr:uid="{4863AE34-5A51-4D56-82A1-65FE21A538AC}"/>
    <hyperlink ref="E80" r:id="rId56" xr:uid="{1DE05047-C3E4-4E96-9BD4-C1BD0585782B}"/>
    <hyperlink ref="E40" r:id="rId57" xr:uid="{6CBCEE49-B21D-4000-810C-9E938FFE90F8}"/>
    <hyperlink ref="E65" r:id="rId58" xr:uid="{929B6DDF-0BD9-4E67-BBCA-9987D4381A67}"/>
    <hyperlink ref="E87" r:id="rId59" xr:uid="{2EE87C3F-B382-4C72-AC7B-779EE50216BC}"/>
    <hyperlink ref="E88" r:id="rId60" xr:uid="{DB06A5D1-FAEA-47D0-B3BD-5DD97654C834}"/>
    <hyperlink ref="E86" r:id="rId61" xr:uid="{51BA00ED-1B1B-430D-997B-DFAEA0D0A9BC}"/>
    <hyperlink ref="E90" r:id="rId62" xr:uid="{3713D05D-77A1-4727-B2F6-71BBC2C75D2B}"/>
    <hyperlink ref="E89" r:id="rId63" xr:uid="{8EACF9F2-0E74-4857-AF38-8511E21514E6}"/>
    <hyperlink ref="E93" r:id="rId64" xr:uid="{C32A2204-941D-4140-BE6F-D5027CEFFD11}"/>
    <hyperlink ref="E92" r:id="rId65" display="YouTube Link" xr:uid="{98FC2079-C985-4280-BAC7-AE0563F59C0E}"/>
    <hyperlink ref="E91" r:id="rId66" xr:uid="{0A8D2693-8878-4EE2-B742-56B06750DB52}"/>
    <hyperlink ref="E94" r:id="rId67" display="YouTube Link" xr:uid="{627228E1-277D-4020-BFF5-4D7893ABA318}"/>
    <hyperlink ref="E95" r:id="rId68" xr:uid="{3C74E7BB-80B0-42C0-A656-40B9A5071C81}"/>
    <hyperlink ref="E44" r:id="rId69" xr:uid="{4E76B093-DCD6-483C-A333-6D76F24BC58A}"/>
    <hyperlink ref="E81" r:id="rId70" xr:uid="{D2584394-974B-454D-9311-93F40FFB5BB5}"/>
    <hyperlink ref="E85" r:id="rId71" xr:uid="{82D0280F-327E-4F32-9661-22F5975203FB}"/>
    <hyperlink ref="E16" r:id="rId72" xr:uid="{F0D4AD0B-B268-4DE5-8B18-96F796081093}"/>
    <hyperlink ref="E96" r:id="rId73" xr:uid="{0F79D26C-E6C5-4B5C-8857-457EF2216FEE}"/>
    <hyperlink ref="E95:E96" r:id="rId74" display="YouTube Link" xr:uid="{BC39692F-7DDC-41C2-A35E-D4F17E763E02}"/>
    <hyperlink ref="E97" r:id="rId75" xr:uid="{163F074D-E71F-4515-8B12-AFA4C710CCD2}"/>
    <hyperlink ref="E98" r:id="rId76" xr:uid="{A6B778A3-8770-4ECA-BE03-9F427EA8495C}"/>
    <hyperlink ref="E99" r:id="rId77" display="YouTube Link" xr:uid="{C058D9BA-3314-43F9-A06C-427023485483}"/>
    <hyperlink ref="E100" r:id="rId78" xr:uid="{A1AEC633-AB80-463B-B6BE-AEA6B0DED793}"/>
    <hyperlink ref="E102" r:id="rId79" xr:uid="{04C967D3-A5C6-4571-B7E3-F0E4619BF5E0}"/>
    <hyperlink ref="E101" r:id="rId80" xr:uid="{B1BDE6DF-FB77-4758-A478-47ACBAA4EFFD}"/>
    <hyperlink ref="E103" r:id="rId81" xr:uid="{E46DF421-525E-44C3-85C0-D0CA2B948000}"/>
    <hyperlink ref="E105" r:id="rId82" xr:uid="{21D49698-CBD5-49E6-A964-40769EAB7D88}"/>
    <hyperlink ref="E104" r:id="rId83" xr:uid="{2616CDAC-7F8B-4B74-A360-56AC2D9E928F}"/>
    <hyperlink ref="E106" r:id="rId84" xr:uid="{648814C9-9631-46C3-96A7-B6F9387B4754}"/>
    <hyperlink ref="E107" r:id="rId85" xr:uid="{E6F43075-4413-46F8-8E20-812AA7D1A0C5}"/>
    <hyperlink ref="E109" r:id="rId86" xr:uid="{70632AB5-FAFA-4774-A9CC-17F2FDC8472E}"/>
    <hyperlink ref="E108" r:id="rId87" xr:uid="{4B1F9527-AFFD-4830-BD76-86B114F706AB}"/>
    <hyperlink ref="E110" r:id="rId88" xr:uid="{3AE57B30-44DA-4F43-AF4D-6226E6D03E99}"/>
    <hyperlink ref="E111" r:id="rId89" xr:uid="{0D648851-EE84-4304-A393-B66034E5FCDD}"/>
    <hyperlink ref="E112" r:id="rId90" xr:uid="{EA01682E-162C-42AB-823E-6927AED85A0D}"/>
    <hyperlink ref="E113" r:id="rId91" xr:uid="{5BFC9D55-EF8F-4396-BA15-C57ABF218C54}"/>
    <hyperlink ref="E4" r:id="rId92" xr:uid="{A902E320-E73F-49B4-A0FD-3250C16BF651}"/>
    <hyperlink ref="E2" r:id="rId93" xr:uid="{126D4153-C769-491D-BF59-A7F12DC9BF53}"/>
    <hyperlink ref="E3" r:id="rId94" xr:uid="{FFACC172-4038-4B61-8E35-DA71A47E3D32}"/>
    <hyperlink ref="E115" r:id="rId95" xr:uid="{5FA9D980-0142-4725-A7C5-926B240506A7}"/>
    <hyperlink ref="E116" r:id="rId96" xr:uid="{F5D7EC96-9B69-4F82-A397-919ED261FFB8}"/>
    <hyperlink ref="E117" r:id="rId97" xr:uid="{0DAC2DD7-5893-4303-9282-B5A5C6EDEC0E}"/>
    <hyperlink ref="E118" r:id="rId98" xr:uid="{A6D1F431-7F1B-4DA6-B34D-F08E43DC7D3E}"/>
    <hyperlink ref="E71" r:id="rId99" xr:uid="{667CBD2C-43F6-4016-BD89-DB63791B9248}"/>
    <hyperlink ref="E72" r:id="rId100" xr:uid="{FFCBABB9-6702-4ABA-A606-CB2AF37C5D12}"/>
    <hyperlink ref="E59" r:id="rId101" xr:uid="{79418FF7-70CE-4258-863A-4FAC56BCE023}"/>
    <hyperlink ref="E60" r:id="rId102" xr:uid="{E8F33F86-5C50-426B-A724-37B132E99F00}"/>
    <hyperlink ref="E61" r:id="rId103" xr:uid="{F611D3D8-67ED-477A-98B8-596A45B17D46}"/>
    <hyperlink ref="E63" r:id="rId104" xr:uid="{5B5C5C34-8554-4F54-9090-C4FB17D49082}"/>
    <hyperlink ref="E64" r:id="rId105" xr:uid="{2C991B9B-57C8-4A6B-A2CF-D5AA9755330F}"/>
    <hyperlink ref="E73" r:id="rId106" xr:uid="{8BC801A8-50C0-4059-A63B-9EB5D2B1C5E0}"/>
    <hyperlink ref="E74" r:id="rId107" xr:uid="{1CADDA6E-829C-40B4-9B35-D322CCE6B57F}"/>
    <hyperlink ref="E75" r:id="rId108" xr:uid="{8E50AC96-3807-4B51-AFDD-F547BCFEE17C}"/>
    <hyperlink ref="E76" r:id="rId109" xr:uid="{FB458F70-6A63-4363-97AB-38EC31B4595C}"/>
    <hyperlink ref="E77" r:id="rId110" xr:uid="{589F87FC-E9A6-49BB-9F25-C6A8ED7B1732}"/>
    <hyperlink ref="E119" r:id="rId111" xr:uid="{29D9B365-F7FF-4CB4-9C1B-11901ED2C834}"/>
    <hyperlink ref="E120" r:id="rId112" xr:uid="{9851981F-C390-4FC0-8D76-A52B2F760C43}"/>
    <hyperlink ref="E121" r:id="rId113" xr:uid="{772BEC58-D0F1-409A-AC70-DFBBA13FBC1F}"/>
    <hyperlink ref="E122" r:id="rId114" xr:uid="{F0D6107D-C744-4C46-8344-B185A686C48C}"/>
    <hyperlink ref="E123" r:id="rId115" xr:uid="{8480B74F-4C67-4519-B9D1-4920D4180919}"/>
    <hyperlink ref="E124" r:id="rId116" xr:uid="{901CDFB2-8C73-4F30-ACB5-608234E32029}"/>
    <hyperlink ref="E114" r:id="rId117" xr:uid="{C8A50775-1304-4D39-946E-9ED4285080E0}"/>
    <hyperlink ref="E125" r:id="rId118" xr:uid="{0DD603EE-12B1-4C15-8662-E95BDE7A3315}"/>
    <hyperlink ref="E126" r:id="rId119" xr:uid="{F7BD8050-82ED-4C15-A79A-14E9C341D6C3}"/>
    <hyperlink ref="E127" r:id="rId120" xr:uid="{55776914-4670-4961-973C-9E95EEEA11E4}"/>
    <hyperlink ref="E128" r:id="rId121" xr:uid="{37AB4FAA-B373-404F-B9AD-59DAC5286B13}"/>
    <hyperlink ref="E129" r:id="rId122" xr:uid="{1ADCB22D-AE23-4156-9A99-0891EEEA9EE3}"/>
    <hyperlink ref="E130" r:id="rId123" xr:uid="{4F05F286-6202-4F6C-A875-F1531C9F31B6}"/>
    <hyperlink ref="E131" r:id="rId124" xr:uid="{EEE0B649-0A56-44BA-949F-6ADA9BEAFDD2}"/>
    <hyperlink ref="E132" r:id="rId125" xr:uid="{981852CE-CBF2-4950-84F7-D8F92F3DCDDF}"/>
    <hyperlink ref="E133" r:id="rId126" xr:uid="{D89F38B3-FE31-448E-A8C7-25080896F13A}"/>
    <hyperlink ref="E134" r:id="rId127" xr:uid="{70A3A7FE-C1A9-4928-99D8-5666C254E06A}"/>
    <hyperlink ref="E135" r:id="rId128" xr:uid="{3C03FF38-465F-4509-AD9C-5E27B59772B0}"/>
    <hyperlink ref="E136" r:id="rId129" xr:uid="{4D2E3DC8-6CBB-4FC7-BEA9-4CAE30C34D20}"/>
    <hyperlink ref="E137" r:id="rId130" xr:uid="{BA2A1029-37D5-48B5-8A75-DE13AE2C18FE}"/>
    <hyperlink ref="E138" r:id="rId131" xr:uid="{D5E8E9D5-E6C3-47D0-B0F7-719F6851717C}"/>
    <hyperlink ref="E139" r:id="rId132" xr:uid="{6A62C475-949D-4147-B9C2-7EE43CB771BE}"/>
    <hyperlink ref="E141" r:id="rId133" xr:uid="{D4035AA4-4A00-43DD-A275-C1C04215828A}"/>
    <hyperlink ref="E140" r:id="rId134" xr:uid="{B05DD924-273B-47FF-9D51-CC8429622F93}"/>
    <hyperlink ref="E142" r:id="rId135" xr:uid="{F54187A4-E078-4EDE-94B6-9A9957FB49C0}"/>
    <hyperlink ref="E143" r:id="rId136" xr:uid="{24436317-C141-4C62-92A5-D33255571FE1}"/>
    <hyperlink ref="E144" r:id="rId137" xr:uid="{8BDEDF93-D205-431A-A94D-3079E29E6966}"/>
    <hyperlink ref="E145" r:id="rId138" xr:uid="{85ACC9F7-8676-4AAB-A6F7-9C000FC6A140}"/>
    <hyperlink ref="E146" r:id="rId139" xr:uid="{3263BEC2-AAE9-46B7-8ACE-118C2693EC23}"/>
    <hyperlink ref="E147" r:id="rId140" xr:uid="{7D559448-9048-46FC-A96D-F4038D909651}"/>
    <hyperlink ref="E148" r:id="rId141" xr:uid="{32B67AFC-B700-4494-9B04-C1EF719AF032}"/>
    <hyperlink ref="E149" r:id="rId142" xr:uid="{7A113BE2-359D-4504-B1BB-AD5ED0657BCA}"/>
    <hyperlink ref="E150" r:id="rId143" xr:uid="{BE4B0D72-4B4B-4705-A698-F1F0DC95D46B}"/>
    <hyperlink ref="E151" r:id="rId144" xr:uid="{4DF14444-3B37-4FA2-88D7-1CDAAE620A62}"/>
    <hyperlink ref="E152" r:id="rId145" xr:uid="{F87A9812-2B42-4EDF-81B4-43CFB91850DC}"/>
    <hyperlink ref="E153" r:id="rId146" xr:uid="{27641D87-0900-43C7-9B46-52B1A57FBCF7}"/>
    <hyperlink ref="E154" r:id="rId147" xr:uid="{A326967B-26AE-4041-9C37-51782631C080}"/>
    <hyperlink ref="E155" r:id="rId148" xr:uid="{98B98E12-5552-4EF2-BDA8-55029C107129}"/>
    <hyperlink ref="E156" r:id="rId149" xr:uid="{E4BA33DC-6FA9-4882-A1B5-E7BF1669B2FC}"/>
    <hyperlink ref="E157" r:id="rId150" xr:uid="{66CB93D8-01B2-49F7-8B11-937FF1F414AE}"/>
    <hyperlink ref="E158" r:id="rId151" xr:uid="{F61D50BF-C724-428A-A1B5-9B394C20AF9C}"/>
    <hyperlink ref="E159" r:id="rId152" xr:uid="{3B94CC78-939E-4DDA-9FFD-E6F9B840CBE6}"/>
    <hyperlink ref="E160" r:id="rId153" xr:uid="{705514A9-C1EC-415C-A76C-C872A9E7C53E}"/>
    <hyperlink ref="E162" r:id="rId154" xr:uid="{C89984D2-66EE-476C-B810-DB406A8DC261}"/>
    <hyperlink ref="E163" r:id="rId155" xr:uid="{A6089EB7-4C38-4436-A555-B564F2B6EEF8}"/>
    <hyperlink ref="E164" r:id="rId156" xr:uid="{5BCFBBDC-BE8F-4772-A89F-0FC5DDF308D6}"/>
    <hyperlink ref="E161" r:id="rId157" xr:uid="{C11F7D0F-7FE0-45E8-8BDC-91CD1824BE76}"/>
    <hyperlink ref="E165" r:id="rId158" xr:uid="{92B290D4-D3F0-4E3D-AA10-F2BB4EB80B4F}"/>
    <hyperlink ref="E166" r:id="rId159" xr:uid="{27132978-78E9-4590-A0F3-C08C0DBB582D}"/>
  </hyperlinks>
  <pageMargins left="0.7" right="0.7" top="0.75" bottom="0.75" header="0.3" footer="0.3"/>
  <pageSetup paperSize="286" orientation="landscape" horizontalDpi="4294967293" verticalDpi="1200" r:id="rId160"/>
  <headerFooter>
    <oddFooter xml:space="preserve">&amp;LUnrestricted </oddFooter>
    <evenFooter xml:space="preserve">&amp;LUnrestricted </evenFooter>
    <firstFooter xml:space="preserve">&amp;LUnrestricted </firstFooter>
  </headerFooter>
  <drawing r:id="rId1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B1AA-FE01-4F64-A6DD-871AC189BFE5}">
  <sheetPr>
    <tabColor theme="8" tint="0.39997558519241921"/>
  </sheetPr>
  <dimension ref="A1:J279"/>
  <sheetViews>
    <sheetView showGridLines="0" showRowColHeaders="0" zoomScale="80" zoomScaleNormal="80" workbookViewId="0">
      <selection activeCell="A5" sqref="A5"/>
    </sheetView>
  </sheetViews>
  <sheetFormatPr defaultColWidth="11.42578125" defaultRowHeight="15"/>
  <cols>
    <col min="1" max="1" width="107.28515625" customWidth="1"/>
    <col min="2" max="2" width="37" bestFit="1" customWidth="1"/>
    <col min="3" max="3" width="63.140625" customWidth="1"/>
    <col min="4" max="4" width="18.28515625" style="1" customWidth="1"/>
    <col min="5" max="5" width="24.42578125" style="1" bestFit="1" customWidth="1"/>
    <col min="6" max="7" width="6.7109375" style="1" customWidth="1"/>
  </cols>
  <sheetData>
    <row r="1" spans="1:10">
      <c r="A1" s="16"/>
      <c r="B1" s="16"/>
      <c r="C1" s="16"/>
      <c r="D1" s="22"/>
      <c r="E1" s="22"/>
      <c r="F1" s="22"/>
    </row>
    <row r="2" spans="1:10">
      <c r="A2" s="16"/>
      <c r="B2" s="16"/>
      <c r="C2" s="16"/>
      <c r="D2" s="22"/>
      <c r="E2" s="22"/>
      <c r="F2" s="22"/>
    </row>
    <row r="3" spans="1:10">
      <c r="A3" s="16"/>
      <c r="B3" s="16"/>
      <c r="C3" s="16"/>
      <c r="D3" s="22"/>
      <c r="E3" s="22"/>
      <c r="F3" s="22"/>
    </row>
    <row r="4" spans="1:10" ht="15.75" thickBot="1">
      <c r="A4" s="23"/>
      <c r="B4" s="23"/>
      <c r="C4" s="23"/>
      <c r="D4" s="23"/>
      <c r="E4" s="23"/>
      <c r="F4" s="23"/>
      <c r="G4" s="23"/>
      <c r="H4" s="23"/>
      <c r="I4" s="23"/>
    </row>
    <row r="5" spans="1:10" ht="30.75" customHeight="1" thickTop="1">
      <c r="A5" s="68" t="s">
        <v>482</v>
      </c>
      <c r="B5" s="61"/>
      <c r="C5" s="62"/>
      <c r="D5" s="63"/>
      <c r="E5" s="63"/>
      <c r="F5" s="64"/>
      <c r="G5" s="64"/>
      <c r="H5" s="23"/>
      <c r="I5" s="23"/>
      <c r="J5" s="2"/>
    </row>
    <row r="6" spans="1:10" ht="15.75">
      <c r="A6" s="66" t="s">
        <v>489</v>
      </c>
      <c r="B6" s="23"/>
      <c r="C6" s="23"/>
      <c r="D6" s="23"/>
      <c r="E6" s="23"/>
      <c r="F6" s="23"/>
      <c r="G6" s="23"/>
      <c r="H6" s="23"/>
      <c r="I6" s="23"/>
      <c r="J6" s="2"/>
    </row>
    <row r="7" spans="1:10" s="3" customFormat="1">
      <c r="A7" s="58" t="s">
        <v>483</v>
      </c>
      <c r="B7" s="23"/>
      <c r="C7" s="23"/>
      <c r="D7" s="23"/>
      <c r="E7" s="23"/>
      <c r="F7" s="23"/>
      <c r="G7" s="23"/>
      <c r="H7" s="23"/>
      <c r="I7" s="44"/>
    </row>
    <row r="8" spans="1:10" s="3" customFormat="1">
      <c r="A8" s="58" t="s">
        <v>484</v>
      </c>
      <c r="B8" s="23"/>
      <c r="C8" s="23"/>
      <c r="D8" s="23"/>
      <c r="E8" s="23"/>
      <c r="F8" s="23"/>
      <c r="G8" s="23"/>
      <c r="H8" s="23"/>
      <c r="I8" s="44"/>
    </row>
    <row r="9" spans="1:10" s="3" customFormat="1">
      <c r="A9" s="58" t="s">
        <v>485</v>
      </c>
      <c r="B9" s="23"/>
      <c r="C9" s="23"/>
      <c r="D9" s="23"/>
      <c r="E9" s="23"/>
      <c r="F9" s="23"/>
      <c r="G9" s="23"/>
      <c r="H9" s="23"/>
      <c r="I9" s="44"/>
    </row>
    <row r="10" spans="1:10" s="3" customFormat="1">
      <c r="A10" s="58" t="s">
        <v>486</v>
      </c>
      <c r="B10"/>
      <c r="C10"/>
      <c r="D10" s="1"/>
      <c r="E10" s="1"/>
      <c r="F10" s="1"/>
      <c r="G10" s="1"/>
      <c r="H10"/>
      <c r="I10" s="44"/>
    </row>
    <row r="11" spans="1:10" s="3" customFormat="1">
      <c r="A11" s="58" t="s">
        <v>487</v>
      </c>
      <c r="B11"/>
      <c r="C11"/>
      <c r="D11" s="1"/>
      <c r="E11" s="1"/>
      <c r="F11" s="1"/>
      <c r="G11" s="1"/>
      <c r="H11"/>
      <c r="I11" s="44"/>
    </row>
    <row r="12" spans="1:10" s="3" customFormat="1">
      <c r="A12" s="58" t="s">
        <v>488</v>
      </c>
      <c r="B12"/>
      <c r="C12"/>
      <c r="D12" s="1"/>
      <c r="E12" s="1"/>
      <c r="F12" s="1"/>
      <c r="G12" s="1"/>
      <c r="H12"/>
      <c r="I12" s="44"/>
    </row>
    <row r="13" spans="1:10" s="3" customFormat="1">
      <c r="A13"/>
      <c r="B13"/>
      <c r="C13"/>
      <c r="D13" s="1"/>
      <c r="E13" s="1"/>
      <c r="F13" s="1"/>
      <c r="G13" s="1"/>
      <c r="H13"/>
      <c r="I13" s="44"/>
    </row>
    <row r="14" spans="1:10" s="3" customFormat="1" ht="15.75">
      <c r="A14" s="66" t="s">
        <v>490</v>
      </c>
      <c r="B14"/>
      <c r="C14"/>
      <c r="D14" s="1"/>
      <c r="E14" s="1"/>
      <c r="F14" s="1"/>
      <c r="G14" s="1"/>
      <c r="H14"/>
      <c r="I14" s="44"/>
    </row>
    <row r="15" spans="1:10" s="3" customFormat="1">
      <c r="A15" s="58" t="s">
        <v>491</v>
      </c>
      <c r="B15"/>
      <c r="C15"/>
      <c r="D15" s="1"/>
      <c r="E15" s="1"/>
      <c r="F15" s="1"/>
      <c r="G15" s="1"/>
      <c r="H15"/>
      <c r="I15" s="44"/>
    </row>
    <row r="16" spans="1:10" s="3" customFormat="1">
      <c r="A16" s="58" t="s">
        <v>492</v>
      </c>
      <c r="B16"/>
      <c r="C16"/>
      <c r="D16" s="1"/>
      <c r="E16" s="1"/>
      <c r="F16" s="1"/>
      <c r="G16" s="1"/>
      <c r="H16"/>
      <c r="I16" s="44"/>
    </row>
    <row r="17" spans="1:10" s="3" customFormat="1">
      <c r="A17"/>
      <c r="B17"/>
      <c r="C17"/>
      <c r="D17" s="1"/>
      <c r="E17" s="1"/>
      <c r="F17" s="1"/>
      <c r="G17" s="1"/>
      <c r="H17"/>
      <c r="I17" s="44"/>
    </row>
    <row r="18" spans="1:10" ht="15.75">
      <c r="A18" s="66" t="s">
        <v>493</v>
      </c>
      <c r="I18" s="23"/>
      <c r="J18" s="2"/>
    </row>
    <row r="19" spans="1:10" s="3" customFormat="1">
      <c r="A19" s="59" t="s">
        <v>494</v>
      </c>
      <c r="B19"/>
      <c r="C19"/>
      <c r="D19" s="1"/>
      <c r="E19" s="1"/>
      <c r="F19" s="1"/>
      <c r="G19" s="1"/>
      <c r="H19"/>
      <c r="I19" s="44"/>
    </row>
    <row r="20" spans="1:10" s="3" customFormat="1">
      <c r="A20" s="59" t="s">
        <v>495</v>
      </c>
      <c r="B20"/>
      <c r="C20"/>
      <c r="D20" s="1"/>
      <c r="E20" s="1"/>
      <c r="F20" s="1"/>
      <c r="G20" s="1"/>
      <c r="H20"/>
      <c r="I20" s="44"/>
    </row>
    <row r="21" spans="1:10" s="3" customFormat="1">
      <c r="A21" s="59" t="s">
        <v>496</v>
      </c>
      <c r="B21"/>
      <c r="C21"/>
      <c r="D21" s="1"/>
      <c r="E21" s="1"/>
      <c r="F21" s="1"/>
      <c r="G21" s="1"/>
      <c r="H21"/>
      <c r="I21" s="44"/>
    </row>
    <row r="22" spans="1:10" s="3" customFormat="1">
      <c r="A22" s="59" t="s">
        <v>497</v>
      </c>
      <c r="B22"/>
      <c r="C22"/>
      <c r="D22" s="1"/>
      <c r="E22" s="1"/>
      <c r="F22" s="1"/>
      <c r="G22" s="1"/>
      <c r="H22"/>
      <c r="I22" s="44"/>
    </row>
    <row r="23" spans="1:10" s="3" customFormat="1">
      <c r="A23" s="59" t="s">
        <v>498</v>
      </c>
      <c r="B23"/>
      <c r="C23"/>
      <c r="D23" s="1"/>
      <c r="E23" s="1"/>
      <c r="F23" s="1"/>
      <c r="G23" s="1"/>
      <c r="H23"/>
      <c r="I23" s="44"/>
    </row>
    <row r="24" spans="1:10" s="3" customFormat="1">
      <c r="A24" s="59" t="s">
        <v>499</v>
      </c>
      <c r="B24"/>
      <c r="C24"/>
      <c r="D24" s="1"/>
      <c r="E24" s="1"/>
      <c r="F24" s="1"/>
      <c r="G24" s="1"/>
      <c r="H24"/>
      <c r="I24" s="44"/>
    </row>
    <row r="25" spans="1:10" ht="17.100000000000001" customHeight="1">
      <c r="A25" s="59" t="s">
        <v>500</v>
      </c>
      <c r="I25" s="23"/>
      <c r="J25" s="2"/>
    </row>
    <row r="26" spans="1:10">
      <c r="A26" s="59" t="s">
        <v>501</v>
      </c>
      <c r="I26" s="23"/>
      <c r="J26" s="2"/>
    </row>
    <row r="27" spans="1:10" s="3" customFormat="1">
      <c r="A27" s="59" t="s">
        <v>502</v>
      </c>
      <c r="B27"/>
      <c r="C27"/>
      <c r="D27" s="1"/>
      <c r="E27" s="1"/>
      <c r="F27" s="1"/>
      <c r="G27" s="1"/>
      <c r="H27"/>
      <c r="I27" s="44"/>
    </row>
    <row r="28" spans="1:10" s="3" customFormat="1">
      <c r="A28"/>
      <c r="B28"/>
      <c r="C28"/>
      <c r="D28" s="1"/>
      <c r="E28" s="1"/>
      <c r="F28" s="1"/>
      <c r="G28" s="1"/>
      <c r="H28"/>
      <c r="I28" s="44"/>
    </row>
    <row r="29" spans="1:10" s="3" customFormat="1" ht="15.75">
      <c r="A29" s="66" t="s">
        <v>503</v>
      </c>
      <c r="B29"/>
      <c r="C29"/>
      <c r="D29" s="1"/>
      <c r="E29" s="1"/>
      <c r="F29" s="1"/>
      <c r="G29" s="1"/>
      <c r="H29"/>
      <c r="I29" s="44"/>
    </row>
    <row r="30" spans="1:10" s="3" customFormat="1">
      <c r="A30" s="58" t="s">
        <v>504</v>
      </c>
      <c r="B30"/>
      <c r="C30"/>
      <c r="D30" s="1"/>
      <c r="E30" s="1"/>
      <c r="F30" s="1"/>
      <c r="G30" s="1"/>
      <c r="H30"/>
      <c r="I30" s="44"/>
    </row>
    <row r="31" spans="1:10" s="3" customFormat="1">
      <c r="A31" s="58" t="s">
        <v>505</v>
      </c>
      <c r="B31"/>
      <c r="C31"/>
      <c r="D31" s="1"/>
      <c r="E31" s="1"/>
      <c r="F31" s="1"/>
      <c r="G31" s="1"/>
      <c r="H31"/>
      <c r="I31" s="44"/>
    </row>
    <row r="32" spans="1:10" s="3" customFormat="1">
      <c r="A32" s="58" t="s">
        <v>506</v>
      </c>
      <c r="B32"/>
      <c r="C32"/>
      <c r="D32" s="1"/>
      <c r="E32" s="1"/>
      <c r="F32" s="1"/>
      <c r="G32" s="1"/>
      <c r="H32"/>
      <c r="I32" s="44"/>
    </row>
    <row r="33" spans="1:10" s="3" customFormat="1">
      <c r="A33" s="58" t="s">
        <v>507</v>
      </c>
      <c r="B33"/>
      <c r="C33"/>
      <c r="D33" s="1"/>
      <c r="E33" s="1"/>
      <c r="F33" s="1"/>
      <c r="G33" s="1"/>
      <c r="H33"/>
      <c r="I33" s="44"/>
    </row>
    <row r="34" spans="1:10" s="3" customFormat="1">
      <c r="A34"/>
      <c r="B34"/>
      <c r="C34"/>
      <c r="D34" s="1"/>
      <c r="E34" s="1"/>
      <c r="F34" s="1"/>
      <c r="G34" s="1"/>
      <c r="H34"/>
      <c r="I34" s="44"/>
    </row>
    <row r="35" spans="1:10" s="3" customFormat="1" ht="15.75">
      <c r="A35" s="66" t="s">
        <v>508</v>
      </c>
      <c r="B35"/>
      <c r="C35"/>
      <c r="D35" s="1"/>
      <c r="E35" s="1"/>
      <c r="F35" s="1"/>
      <c r="G35" s="1"/>
      <c r="H35"/>
      <c r="I35" s="44"/>
    </row>
    <row r="36" spans="1:10" s="3" customFormat="1">
      <c r="A36" s="58" t="s">
        <v>509</v>
      </c>
      <c r="B36"/>
      <c r="C36"/>
      <c r="D36" s="1"/>
      <c r="E36" s="1"/>
      <c r="F36" s="1"/>
      <c r="G36" s="1"/>
      <c r="H36"/>
      <c r="I36" s="44"/>
    </row>
    <row r="37" spans="1:10" s="3" customFormat="1">
      <c r="A37" s="58" t="s">
        <v>510</v>
      </c>
      <c r="B37"/>
      <c r="C37"/>
      <c r="D37" s="1"/>
      <c r="E37" s="1"/>
      <c r="F37" s="1"/>
      <c r="G37" s="1"/>
      <c r="H37"/>
      <c r="I37" s="44"/>
    </row>
    <row r="38" spans="1:10" s="3" customFormat="1">
      <c r="A38" s="58" t="s">
        <v>511</v>
      </c>
      <c r="B38"/>
      <c r="C38"/>
      <c r="D38" s="1"/>
      <c r="E38" s="1"/>
      <c r="F38" s="1"/>
      <c r="G38" s="1"/>
      <c r="H38"/>
      <c r="I38" s="44"/>
    </row>
    <row r="39" spans="1:10" s="3" customFormat="1">
      <c r="A39" s="58" t="s">
        <v>512</v>
      </c>
      <c r="B39"/>
      <c r="C39"/>
      <c r="D39" s="1"/>
      <c r="E39" s="1"/>
      <c r="F39" s="1"/>
      <c r="G39" s="1"/>
      <c r="H39"/>
      <c r="I39" s="44"/>
    </row>
    <row r="40" spans="1:10" s="3" customFormat="1">
      <c r="A40" s="58" t="s">
        <v>513</v>
      </c>
      <c r="B40"/>
      <c r="C40"/>
      <c r="D40" s="1"/>
      <c r="E40" s="1"/>
      <c r="F40" s="1"/>
      <c r="G40" s="1"/>
      <c r="H40"/>
      <c r="I40" s="44"/>
    </row>
    <row r="41" spans="1:10" s="3" customFormat="1">
      <c r="A41"/>
      <c r="B41"/>
      <c r="C41"/>
      <c r="D41" s="1"/>
      <c r="E41" s="1"/>
      <c r="F41" s="1"/>
      <c r="G41" s="1"/>
      <c r="H41"/>
      <c r="I41" s="44"/>
    </row>
    <row r="42" spans="1:10" s="3" customFormat="1" ht="15.75">
      <c r="A42" s="67" t="s">
        <v>514</v>
      </c>
      <c r="B42"/>
      <c r="C42"/>
      <c r="D42" s="1"/>
      <c r="E42" s="1"/>
      <c r="F42" s="1"/>
      <c r="G42" s="1"/>
      <c r="H42"/>
      <c r="I42" s="44"/>
    </row>
    <row r="43" spans="1:10" s="3" customFormat="1">
      <c r="A43" s="58" t="s">
        <v>515</v>
      </c>
      <c r="B43"/>
      <c r="C43"/>
      <c r="D43" s="1"/>
      <c r="E43" s="1"/>
      <c r="F43" s="1"/>
      <c r="G43" s="1"/>
      <c r="H43"/>
      <c r="I43" s="44"/>
    </row>
    <row r="44" spans="1:10" s="3" customFormat="1">
      <c r="A44" s="58" t="s">
        <v>516</v>
      </c>
      <c r="B44"/>
      <c r="C44"/>
      <c r="D44" s="1"/>
      <c r="E44" s="1"/>
      <c r="F44" s="1"/>
      <c r="G44" s="1"/>
      <c r="H44"/>
      <c r="I44" s="44"/>
    </row>
    <row r="45" spans="1:10" s="3" customFormat="1">
      <c r="A45" s="58" t="s">
        <v>517</v>
      </c>
      <c r="B45"/>
      <c r="C45"/>
      <c r="D45" s="1"/>
      <c r="E45" s="1"/>
      <c r="F45" s="1"/>
      <c r="G45" s="1"/>
      <c r="H45"/>
      <c r="I45" s="44"/>
    </row>
    <row r="46" spans="1:10">
      <c r="A46" s="58" t="s">
        <v>518</v>
      </c>
      <c r="I46" s="23"/>
      <c r="J46" s="2"/>
    </row>
    <row r="47" spans="1:10" s="3" customFormat="1">
      <c r="A47" s="58" t="s">
        <v>487</v>
      </c>
      <c r="B47"/>
      <c r="C47"/>
      <c r="D47" s="1"/>
      <c r="E47" s="1"/>
      <c r="F47" s="1"/>
      <c r="G47" s="1"/>
      <c r="H47"/>
      <c r="I47" s="44"/>
    </row>
    <row r="48" spans="1:10" s="3" customFormat="1">
      <c r="A48" s="58" t="s">
        <v>519</v>
      </c>
      <c r="B48"/>
      <c r="C48"/>
      <c r="D48" s="1"/>
      <c r="E48" s="1"/>
      <c r="F48" s="1"/>
      <c r="G48" s="1"/>
      <c r="H48"/>
      <c r="I48" s="44"/>
    </row>
    <row r="49" spans="1:10" s="3" customFormat="1">
      <c r="A49"/>
      <c r="B49"/>
      <c r="C49"/>
      <c r="D49" s="1"/>
      <c r="E49" s="1"/>
      <c r="F49" s="1"/>
      <c r="G49" s="1"/>
      <c r="H49"/>
      <c r="I49" s="44"/>
    </row>
    <row r="50" spans="1:10" s="3" customFormat="1" ht="15.75">
      <c r="A50" s="67" t="s">
        <v>520</v>
      </c>
      <c r="B50"/>
      <c r="C50"/>
      <c r="D50" s="1"/>
      <c r="E50" s="1"/>
      <c r="F50" s="1"/>
      <c r="G50" s="1"/>
      <c r="H50"/>
      <c r="I50" s="44"/>
    </row>
    <row r="51" spans="1:10" s="3" customFormat="1">
      <c r="A51" s="58" t="s">
        <v>521</v>
      </c>
      <c r="B51"/>
      <c r="C51"/>
      <c r="D51" s="1"/>
      <c r="E51" s="1"/>
      <c r="F51" s="1"/>
      <c r="G51" s="1"/>
      <c r="H51"/>
      <c r="I51" s="44"/>
    </row>
    <row r="52" spans="1:10" s="3" customFormat="1">
      <c r="A52" s="58" t="s">
        <v>522</v>
      </c>
      <c r="B52"/>
      <c r="C52"/>
      <c r="D52" s="1"/>
      <c r="E52" s="1"/>
      <c r="F52" s="1"/>
      <c r="G52" s="1"/>
      <c r="H52"/>
      <c r="I52" s="44"/>
    </row>
    <row r="53" spans="1:10" s="3" customFormat="1">
      <c r="A53" s="58" t="s">
        <v>523</v>
      </c>
      <c r="B53"/>
      <c r="C53"/>
      <c r="D53" s="1"/>
      <c r="E53" s="1"/>
      <c r="F53" s="1"/>
      <c r="G53" s="1"/>
      <c r="H53"/>
      <c r="I53" s="44"/>
    </row>
    <row r="54" spans="1:10" s="3" customFormat="1">
      <c r="A54" s="58" t="s">
        <v>524</v>
      </c>
      <c r="B54"/>
      <c r="C54"/>
      <c r="D54" s="1"/>
      <c r="E54" s="1"/>
      <c r="F54" s="1"/>
      <c r="G54" s="1"/>
      <c r="H54"/>
      <c r="I54" s="44"/>
    </row>
    <row r="55" spans="1:10" s="3" customFormat="1">
      <c r="A55" s="58" t="s">
        <v>525</v>
      </c>
      <c r="B55"/>
      <c r="C55"/>
      <c r="D55" s="1"/>
      <c r="E55" s="1"/>
      <c r="F55" s="1"/>
      <c r="G55" s="1"/>
      <c r="H55"/>
      <c r="I55" s="44"/>
    </row>
    <row r="56" spans="1:10" s="3" customFormat="1">
      <c r="A56" s="58" t="s">
        <v>526</v>
      </c>
      <c r="B56"/>
      <c r="C56"/>
      <c r="D56" s="1"/>
      <c r="E56" s="1"/>
      <c r="F56" s="1"/>
      <c r="G56" s="1"/>
      <c r="H56"/>
      <c r="I56" s="44"/>
    </row>
    <row r="57" spans="1:10">
      <c r="A57" s="58" t="s">
        <v>527</v>
      </c>
      <c r="I57" s="23"/>
      <c r="J57" s="2"/>
    </row>
    <row r="58" spans="1:10" s="3" customFormat="1">
      <c r="A58" s="60"/>
      <c r="B58"/>
      <c r="C58"/>
      <c r="D58" s="1"/>
      <c r="E58" s="1"/>
      <c r="F58" s="1"/>
      <c r="G58" s="1"/>
      <c r="H58"/>
      <c r="I58" s="44"/>
    </row>
    <row r="59" spans="1:10" s="3" customFormat="1" ht="15.75">
      <c r="A59" s="67" t="s">
        <v>528</v>
      </c>
      <c r="B59"/>
      <c r="C59"/>
      <c r="D59" s="1"/>
      <c r="E59" s="1"/>
      <c r="F59" s="1"/>
      <c r="G59" s="1"/>
      <c r="H59"/>
      <c r="I59" s="44"/>
    </row>
    <row r="60" spans="1:10" s="3" customFormat="1">
      <c r="A60" s="58" t="s">
        <v>529</v>
      </c>
      <c r="B60"/>
      <c r="C60"/>
      <c r="D60" s="1"/>
      <c r="E60" s="1"/>
      <c r="F60" s="1"/>
      <c r="G60" s="1"/>
      <c r="H60"/>
      <c r="I60" s="44"/>
    </row>
    <row r="61" spans="1:10" s="3" customFormat="1">
      <c r="A61" s="58" t="s">
        <v>530</v>
      </c>
      <c r="B61"/>
      <c r="C61"/>
      <c r="D61" s="1"/>
      <c r="E61" s="1"/>
      <c r="F61" s="1"/>
      <c r="G61" s="1"/>
      <c r="H61"/>
      <c r="I61" s="44"/>
    </row>
    <row r="62" spans="1:10" s="3" customFormat="1">
      <c r="A62" s="58" t="s">
        <v>531</v>
      </c>
      <c r="B62"/>
      <c r="C62"/>
      <c r="D62" s="1"/>
      <c r="E62" s="1"/>
      <c r="F62" s="1"/>
      <c r="G62" s="1"/>
      <c r="H62"/>
      <c r="I62" s="44"/>
    </row>
    <row r="63" spans="1:10" s="3" customFormat="1">
      <c r="A63" s="58" t="s">
        <v>532</v>
      </c>
      <c r="B63"/>
      <c r="C63"/>
      <c r="D63" s="1"/>
      <c r="E63" s="1"/>
      <c r="F63" s="1"/>
      <c r="G63" s="1"/>
      <c r="H63"/>
      <c r="I63" s="44"/>
    </row>
    <row r="64" spans="1:10" s="3" customFormat="1">
      <c r="A64" s="58" t="s">
        <v>533</v>
      </c>
      <c r="B64"/>
      <c r="C64"/>
      <c r="D64" s="1"/>
      <c r="E64" s="1"/>
      <c r="F64" s="1"/>
      <c r="G64" s="1"/>
      <c r="H64"/>
      <c r="I64" s="44"/>
    </row>
    <row r="65" spans="1:10" s="3" customFormat="1">
      <c r="A65"/>
      <c r="B65"/>
      <c r="C65"/>
      <c r="D65" s="1"/>
      <c r="E65" s="1"/>
      <c r="F65" s="1"/>
      <c r="G65" s="1"/>
      <c r="H65"/>
      <c r="I65" s="44"/>
    </row>
    <row r="66" spans="1:10" s="3" customFormat="1" ht="15.75">
      <c r="A66" s="66" t="s">
        <v>534</v>
      </c>
      <c r="B66"/>
      <c r="C66"/>
      <c r="D66" s="1"/>
      <c r="E66" s="1"/>
      <c r="F66" s="1"/>
      <c r="G66" s="1"/>
      <c r="H66"/>
      <c r="I66" s="44"/>
    </row>
    <row r="67" spans="1:10" s="3" customFormat="1">
      <c r="A67" s="59" t="s">
        <v>535</v>
      </c>
      <c r="B67"/>
      <c r="C67"/>
      <c r="D67" s="1"/>
      <c r="E67" s="1"/>
      <c r="F67" s="1"/>
      <c r="G67" s="1"/>
      <c r="H67"/>
      <c r="I67" s="44"/>
    </row>
    <row r="68" spans="1:10" s="3" customFormat="1">
      <c r="A68" s="59" t="s">
        <v>536</v>
      </c>
      <c r="B68"/>
      <c r="C68"/>
      <c r="D68" s="1"/>
      <c r="E68" s="1"/>
      <c r="F68" s="1"/>
      <c r="G68" s="1"/>
      <c r="H68"/>
      <c r="I68" s="44"/>
    </row>
    <row r="69" spans="1:10" s="3" customFormat="1">
      <c r="A69" s="59" t="s">
        <v>537</v>
      </c>
      <c r="B69"/>
      <c r="C69"/>
      <c r="D69" s="1"/>
      <c r="E69" s="1"/>
      <c r="F69" s="1"/>
      <c r="G69" s="1"/>
      <c r="H69"/>
      <c r="I69" s="44"/>
    </row>
    <row r="70" spans="1:10">
      <c r="I70" s="23"/>
      <c r="J70" s="2"/>
    </row>
    <row r="71" spans="1:10" ht="15.75">
      <c r="A71" s="66" t="s">
        <v>538</v>
      </c>
      <c r="I71" s="23"/>
      <c r="J71" s="2"/>
    </row>
    <row r="72" spans="1:10" s="3" customFormat="1">
      <c r="A72" s="58" t="s">
        <v>539</v>
      </c>
      <c r="B72"/>
      <c r="C72"/>
      <c r="D72" s="1"/>
      <c r="E72" s="1"/>
      <c r="F72" s="1"/>
      <c r="G72" s="1"/>
      <c r="H72"/>
      <c r="I72" s="44"/>
    </row>
    <row r="73" spans="1:10" s="3" customFormat="1">
      <c r="A73" s="58" t="s">
        <v>540</v>
      </c>
      <c r="B73"/>
      <c r="C73"/>
      <c r="D73" s="1"/>
      <c r="E73" s="1"/>
      <c r="F73" s="1"/>
      <c r="G73" s="1"/>
      <c r="H73"/>
      <c r="I73" s="44"/>
    </row>
    <row r="74" spans="1:10">
      <c r="A74" s="58" t="s">
        <v>541</v>
      </c>
      <c r="I74" s="23"/>
      <c r="J74" s="2"/>
    </row>
    <row r="75" spans="1:10" s="3" customFormat="1">
      <c r="A75" s="58" t="s">
        <v>542</v>
      </c>
      <c r="B75"/>
      <c r="C75"/>
      <c r="D75" s="1"/>
      <c r="E75" s="1"/>
      <c r="F75" s="1"/>
      <c r="G75" s="1"/>
      <c r="H75"/>
      <c r="I75" s="44"/>
    </row>
    <row r="76" spans="1:10" s="3" customFormat="1">
      <c r="A76" s="58" t="s">
        <v>543</v>
      </c>
      <c r="B76"/>
      <c r="C76"/>
      <c r="D76" s="1"/>
      <c r="E76" s="1"/>
      <c r="F76" s="1"/>
      <c r="G76" s="1"/>
      <c r="H76"/>
      <c r="I76" s="44"/>
    </row>
    <row r="77" spans="1:10" s="3" customFormat="1">
      <c r="A77" s="58" t="s">
        <v>544</v>
      </c>
      <c r="B77"/>
      <c r="C77"/>
      <c r="D77" s="1"/>
      <c r="E77" s="1"/>
      <c r="F77" s="1"/>
      <c r="G77" s="1"/>
      <c r="H77"/>
      <c r="I77" s="44"/>
    </row>
    <row r="78" spans="1:10" s="3" customFormat="1">
      <c r="A78" s="58" t="s">
        <v>545</v>
      </c>
      <c r="B78"/>
      <c r="C78"/>
      <c r="D78" s="1"/>
      <c r="E78" s="1"/>
      <c r="F78" s="1"/>
      <c r="G78" s="1"/>
      <c r="H78"/>
      <c r="I78" s="44"/>
    </row>
    <row r="79" spans="1:10" s="3" customFormat="1">
      <c r="A79" s="58" t="s">
        <v>546</v>
      </c>
      <c r="B79"/>
      <c r="C79"/>
      <c r="D79" s="1"/>
      <c r="E79" s="1"/>
      <c r="F79" s="1"/>
      <c r="G79" s="1"/>
      <c r="H79"/>
      <c r="I79" s="44"/>
    </row>
    <row r="80" spans="1:10" s="3" customFormat="1">
      <c r="A80" s="58" t="s">
        <v>547</v>
      </c>
      <c r="B80"/>
      <c r="C80"/>
      <c r="D80" s="1"/>
      <c r="E80" s="1"/>
      <c r="F80" s="1"/>
      <c r="G80" s="1"/>
      <c r="H80"/>
      <c r="I80" s="44"/>
    </row>
    <row r="81" spans="1:10">
      <c r="I81" s="23"/>
      <c r="J81" s="2"/>
    </row>
    <row r="82" spans="1:10" s="3" customFormat="1">
      <c r="A82" s="65" t="s">
        <v>548</v>
      </c>
      <c r="B82"/>
      <c r="C82"/>
      <c r="D82" s="1"/>
      <c r="E82" s="1"/>
      <c r="F82" s="1"/>
      <c r="G82" s="1"/>
      <c r="H82"/>
      <c r="I82" s="44"/>
    </row>
    <row r="83" spans="1:10" s="3" customFormat="1">
      <c r="A83" s="59" t="s">
        <v>549</v>
      </c>
      <c r="B83"/>
      <c r="C83"/>
      <c r="D83" s="1"/>
      <c r="E83" s="1"/>
      <c r="F83" s="1"/>
      <c r="G83" s="1"/>
      <c r="H83"/>
      <c r="I83" s="44"/>
    </row>
    <row r="84" spans="1:10" s="3" customFormat="1">
      <c r="A84" s="59" t="s">
        <v>550</v>
      </c>
      <c r="B84"/>
      <c r="C84"/>
      <c r="D84" s="1"/>
      <c r="E84" s="1"/>
      <c r="F84" s="1"/>
      <c r="G84" s="1"/>
      <c r="H84"/>
      <c r="I84" s="44"/>
    </row>
    <row r="85" spans="1:10" s="3" customFormat="1">
      <c r="A85" s="59" t="s">
        <v>551</v>
      </c>
      <c r="B85"/>
      <c r="C85"/>
      <c r="D85" s="1"/>
      <c r="E85" s="1"/>
      <c r="F85" s="1"/>
      <c r="G85" s="1"/>
      <c r="H85"/>
      <c r="I85" s="44"/>
    </row>
    <row r="86" spans="1:10" s="3" customFormat="1">
      <c r="A86" s="59" t="s">
        <v>552</v>
      </c>
      <c r="B86"/>
      <c r="C86"/>
      <c r="D86" s="1"/>
      <c r="E86" s="1"/>
      <c r="F86" s="1"/>
      <c r="G86" s="1"/>
      <c r="H86"/>
      <c r="I86" s="44"/>
    </row>
    <row r="87" spans="1:10" s="3" customFormat="1">
      <c r="A87" s="59" t="s">
        <v>553</v>
      </c>
      <c r="B87"/>
      <c r="C87"/>
      <c r="D87" s="1"/>
      <c r="E87" s="1"/>
      <c r="F87" s="1"/>
      <c r="G87" s="1"/>
      <c r="H87"/>
      <c r="I87" s="44"/>
    </row>
    <row r="88" spans="1:10">
      <c r="A88" s="59" t="s">
        <v>554</v>
      </c>
      <c r="I88" s="23"/>
      <c r="J88" s="2"/>
    </row>
    <row r="89" spans="1:10">
      <c r="A89" s="59" t="s">
        <v>555</v>
      </c>
      <c r="I89" s="23"/>
      <c r="J89" s="2"/>
    </row>
    <row r="90" spans="1:10" s="3" customFormat="1">
      <c r="A90" s="59" t="s">
        <v>556</v>
      </c>
      <c r="B90"/>
      <c r="C90"/>
      <c r="D90" s="1"/>
      <c r="E90" s="1"/>
      <c r="F90" s="1"/>
      <c r="G90" s="1"/>
      <c r="H90"/>
      <c r="I90" s="44"/>
    </row>
    <row r="91" spans="1:10" s="3" customFormat="1">
      <c r="A91" s="59" t="s">
        <v>557</v>
      </c>
      <c r="B91"/>
      <c r="C91"/>
      <c r="D91" s="1"/>
      <c r="E91" s="1"/>
      <c r="F91" s="1"/>
      <c r="G91" s="1"/>
      <c r="H91"/>
      <c r="I91" s="44"/>
    </row>
    <row r="92" spans="1:10" s="3" customFormat="1">
      <c r="A92" s="59" t="s">
        <v>558</v>
      </c>
      <c r="B92"/>
      <c r="C92"/>
      <c r="D92" s="1"/>
      <c r="E92" s="1"/>
      <c r="F92" s="1"/>
      <c r="G92" s="1"/>
      <c r="H92"/>
      <c r="I92" s="44"/>
    </row>
    <row r="93" spans="1:10" s="3" customFormat="1">
      <c r="A93" s="59" t="s">
        <v>559</v>
      </c>
      <c r="B93"/>
      <c r="C93"/>
      <c r="D93" s="1"/>
      <c r="E93" s="1"/>
      <c r="F93" s="1"/>
      <c r="G93" s="1"/>
      <c r="H93"/>
      <c r="I93" s="44"/>
    </row>
    <row r="94" spans="1:10" s="3" customFormat="1">
      <c r="A94" s="59" t="s">
        <v>560</v>
      </c>
      <c r="B94"/>
      <c r="C94"/>
      <c r="D94" s="1"/>
      <c r="E94" s="1"/>
      <c r="F94" s="1"/>
      <c r="G94" s="1"/>
      <c r="H94"/>
      <c r="I94" s="44"/>
    </row>
    <row r="95" spans="1:10" s="3" customFormat="1">
      <c r="A95" s="59" t="s">
        <v>561</v>
      </c>
      <c r="B95"/>
      <c r="C95"/>
      <c r="D95" s="1"/>
      <c r="E95" s="1"/>
      <c r="F95" s="1"/>
      <c r="G95" s="1"/>
      <c r="H95"/>
      <c r="I95" s="44"/>
    </row>
    <row r="96" spans="1:10" s="3" customFormat="1">
      <c r="A96" s="59" t="s">
        <v>562</v>
      </c>
      <c r="B96"/>
      <c r="C96"/>
      <c r="D96" s="1"/>
      <c r="E96" s="1"/>
      <c r="F96" s="1"/>
      <c r="G96" s="1"/>
      <c r="H96"/>
      <c r="I96" s="44"/>
    </row>
    <row r="97" spans="1:10" s="3" customFormat="1">
      <c r="A97" s="59" t="s">
        <v>563</v>
      </c>
      <c r="B97"/>
      <c r="C97"/>
      <c r="D97" s="1"/>
      <c r="E97" s="1"/>
      <c r="F97" s="1"/>
      <c r="G97" s="1"/>
      <c r="H97"/>
      <c r="I97" s="44"/>
    </row>
    <row r="98" spans="1:10" s="3" customFormat="1">
      <c r="A98" s="59" t="s">
        <v>564</v>
      </c>
      <c r="B98"/>
      <c r="C98"/>
      <c r="D98" s="1"/>
      <c r="E98" s="1"/>
      <c r="F98" s="1"/>
      <c r="G98" s="1"/>
      <c r="H98"/>
      <c r="I98" s="44"/>
    </row>
    <row r="99" spans="1:10">
      <c r="A99" s="59" t="s">
        <v>565</v>
      </c>
      <c r="I99" s="23"/>
      <c r="J99" s="2"/>
    </row>
    <row r="100" spans="1:10" s="3" customFormat="1">
      <c r="A100" s="59" t="s">
        <v>566</v>
      </c>
      <c r="B100"/>
      <c r="C100"/>
      <c r="D100" s="1"/>
      <c r="E100" s="1"/>
      <c r="F100" s="1"/>
      <c r="G100" s="1"/>
      <c r="H100"/>
      <c r="I100" s="44"/>
    </row>
    <row r="101" spans="1:10" s="3" customFormat="1">
      <c r="A101" s="59" t="s">
        <v>567</v>
      </c>
      <c r="B101"/>
      <c r="C101"/>
      <c r="D101" s="1"/>
      <c r="E101" s="1"/>
      <c r="F101" s="1"/>
      <c r="G101" s="1"/>
      <c r="H101"/>
      <c r="I101" s="44"/>
    </row>
    <row r="102" spans="1:10">
      <c r="A102" s="59" t="s">
        <v>568</v>
      </c>
      <c r="I102" s="23"/>
      <c r="J102" s="2"/>
    </row>
    <row r="103" spans="1:10" s="3" customFormat="1">
      <c r="A103" s="59" t="s">
        <v>569</v>
      </c>
      <c r="B103"/>
      <c r="C103"/>
      <c r="D103" s="1"/>
      <c r="E103" s="1"/>
      <c r="F103" s="1"/>
      <c r="G103" s="1"/>
      <c r="H103"/>
      <c r="I103" s="44"/>
    </row>
    <row r="104" spans="1:10" s="3" customFormat="1">
      <c r="A104"/>
      <c r="B104"/>
      <c r="C104"/>
      <c r="D104" s="1"/>
      <c r="E104" s="1"/>
      <c r="F104" s="1"/>
      <c r="G104" s="1"/>
      <c r="H104"/>
      <c r="I104" s="44"/>
    </row>
    <row r="105" spans="1:10" s="3" customFormat="1" ht="15.75">
      <c r="A105" s="66" t="s">
        <v>570</v>
      </c>
      <c r="B105"/>
      <c r="C105"/>
      <c r="D105" s="1"/>
      <c r="E105" s="1"/>
      <c r="F105" s="1"/>
      <c r="G105" s="1"/>
      <c r="H105"/>
      <c r="I105" s="44"/>
    </row>
    <row r="106" spans="1:10" s="3" customFormat="1">
      <c r="A106" s="19" t="s">
        <v>571</v>
      </c>
      <c r="B106"/>
      <c r="C106"/>
      <c r="D106" s="1"/>
      <c r="E106" s="1"/>
      <c r="F106" s="1"/>
      <c r="G106" s="1"/>
      <c r="H106"/>
      <c r="I106" s="44"/>
    </row>
    <row r="107" spans="1:10" s="3" customFormat="1">
      <c r="A107" s="19" t="s">
        <v>572</v>
      </c>
      <c r="B107"/>
      <c r="C107"/>
      <c r="D107" s="1"/>
      <c r="E107" s="1"/>
      <c r="F107" s="1"/>
      <c r="G107" s="1"/>
      <c r="H107"/>
      <c r="I107" s="44"/>
    </row>
    <row r="108" spans="1:10" s="3" customFormat="1">
      <c r="A108"/>
      <c r="B108"/>
      <c r="C108"/>
      <c r="D108" s="1"/>
      <c r="E108" s="1"/>
      <c r="F108" s="1"/>
      <c r="G108" s="1"/>
      <c r="H108"/>
      <c r="I108" s="44"/>
    </row>
    <row r="109" spans="1:10">
      <c r="A109" s="9" t="s">
        <v>573</v>
      </c>
      <c r="I109" s="23"/>
      <c r="J109" s="2"/>
    </row>
    <row r="110" spans="1:10" s="3" customFormat="1">
      <c r="A110"/>
      <c r="B110"/>
      <c r="C110"/>
      <c r="D110" s="1"/>
      <c r="E110" s="1"/>
      <c r="F110" s="1"/>
      <c r="G110" s="1"/>
      <c r="H110"/>
      <c r="I110" s="44"/>
    </row>
    <row r="111" spans="1:10" s="3" customFormat="1">
      <c r="A111"/>
      <c r="B111"/>
      <c r="C111"/>
      <c r="D111" s="1"/>
      <c r="E111" s="1"/>
      <c r="F111" s="1"/>
      <c r="G111" s="1"/>
      <c r="H111"/>
      <c r="I111" s="44"/>
    </row>
    <row r="112" spans="1:10" s="3" customFormat="1">
      <c r="A112"/>
      <c r="B112"/>
      <c r="C112"/>
      <c r="D112" s="1"/>
      <c r="E112" s="1"/>
      <c r="F112" s="1"/>
      <c r="G112" s="1"/>
      <c r="H112"/>
      <c r="I112" s="44"/>
    </row>
    <row r="113" spans="1:9" s="3" customFormat="1">
      <c r="A113"/>
      <c r="B113"/>
      <c r="C113"/>
      <c r="D113" s="1"/>
      <c r="E113" s="1"/>
      <c r="F113" s="1"/>
      <c r="G113" s="1"/>
      <c r="H113"/>
      <c r="I113" s="44"/>
    </row>
    <row r="114" spans="1:9" s="3" customFormat="1">
      <c r="A114"/>
      <c r="B114"/>
      <c r="C114"/>
      <c r="D114" s="1"/>
      <c r="E114" s="1"/>
      <c r="F114" s="1"/>
      <c r="G114" s="1"/>
      <c r="H114"/>
      <c r="I114" s="44"/>
    </row>
    <row r="115" spans="1:9" s="3" customFormat="1">
      <c r="A115"/>
      <c r="B115"/>
      <c r="C115"/>
      <c r="D115" s="1"/>
      <c r="E115" s="1"/>
      <c r="F115" s="1"/>
      <c r="G115" s="1"/>
      <c r="H115"/>
      <c r="I115" s="44"/>
    </row>
    <row r="116" spans="1:9" s="3" customFormat="1">
      <c r="A116"/>
      <c r="B116"/>
      <c r="C116"/>
      <c r="D116" s="1"/>
      <c r="E116" s="1"/>
      <c r="F116" s="1"/>
      <c r="G116" s="1"/>
      <c r="H116"/>
      <c r="I116" s="44"/>
    </row>
    <row r="117" spans="1:9" s="3" customFormat="1">
      <c r="A117"/>
      <c r="B117"/>
      <c r="C117"/>
      <c r="D117" s="1"/>
      <c r="E117" s="1"/>
      <c r="F117" s="1"/>
      <c r="G117" s="1"/>
      <c r="H117"/>
      <c r="I117" s="44"/>
    </row>
    <row r="118" spans="1:9" s="3" customFormat="1">
      <c r="A118"/>
      <c r="B118"/>
      <c r="C118"/>
      <c r="D118" s="1"/>
      <c r="E118" s="1"/>
      <c r="F118" s="1"/>
      <c r="G118" s="1"/>
      <c r="H118"/>
      <c r="I118" s="44"/>
    </row>
    <row r="119" spans="1:9" s="3" customFormat="1">
      <c r="A119"/>
      <c r="B119"/>
      <c r="C119"/>
      <c r="D119" s="1"/>
      <c r="E119" s="1"/>
      <c r="F119" s="1"/>
      <c r="G119" s="1"/>
      <c r="H119"/>
      <c r="I119" s="44"/>
    </row>
    <row r="120" spans="1:9" s="3" customFormat="1">
      <c r="A120"/>
      <c r="B120"/>
      <c r="C120"/>
      <c r="D120" s="1"/>
      <c r="E120" s="1"/>
      <c r="F120" s="1"/>
      <c r="G120" s="1"/>
      <c r="H120"/>
      <c r="I120" s="44"/>
    </row>
    <row r="121" spans="1:9" s="3" customFormat="1">
      <c r="A121"/>
      <c r="B121"/>
      <c r="C121"/>
      <c r="D121" s="1"/>
      <c r="E121" s="1"/>
      <c r="F121" s="1"/>
      <c r="G121" s="1"/>
      <c r="H121"/>
      <c r="I121" s="44"/>
    </row>
    <row r="122" spans="1:9" s="3" customFormat="1">
      <c r="A122"/>
      <c r="B122"/>
      <c r="C122"/>
      <c r="D122" s="1"/>
      <c r="E122" s="1"/>
      <c r="F122" s="1"/>
      <c r="G122" s="1"/>
      <c r="H122"/>
      <c r="I122" s="44"/>
    </row>
    <row r="123" spans="1:9" s="3" customFormat="1">
      <c r="A123"/>
      <c r="B123"/>
      <c r="C123"/>
      <c r="D123" s="1"/>
      <c r="E123" s="1"/>
      <c r="F123" s="1"/>
      <c r="G123" s="1"/>
      <c r="H123"/>
      <c r="I123" s="44"/>
    </row>
    <row r="124" spans="1:9" s="3" customFormat="1">
      <c r="A124"/>
      <c r="B124"/>
      <c r="C124"/>
      <c r="D124" s="1"/>
      <c r="E124" s="1"/>
      <c r="F124" s="1"/>
      <c r="G124" s="1"/>
      <c r="H124"/>
      <c r="I124" s="44"/>
    </row>
    <row r="125" spans="1:9" s="3" customFormat="1">
      <c r="A125"/>
      <c r="B125"/>
      <c r="C125"/>
      <c r="D125" s="1"/>
      <c r="E125" s="1"/>
      <c r="F125" s="1"/>
      <c r="G125" s="1"/>
      <c r="H125"/>
      <c r="I125" s="44"/>
    </row>
    <row r="126" spans="1:9" s="3" customFormat="1">
      <c r="A126"/>
      <c r="B126"/>
      <c r="C126"/>
      <c r="D126" s="1"/>
      <c r="E126" s="1"/>
      <c r="F126" s="1"/>
      <c r="G126" s="1"/>
      <c r="H126"/>
      <c r="I126" s="44"/>
    </row>
    <row r="127" spans="1:9" s="3" customFormat="1">
      <c r="A127"/>
      <c r="B127"/>
      <c r="C127"/>
      <c r="D127" s="1"/>
      <c r="E127" s="1"/>
      <c r="F127" s="1"/>
      <c r="G127" s="1"/>
      <c r="H127"/>
      <c r="I127" s="44"/>
    </row>
    <row r="128" spans="1:9" s="3" customFormat="1">
      <c r="A128"/>
      <c r="B128"/>
      <c r="C128"/>
      <c r="D128" s="1"/>
      <c r="E128" s="1"/>
      <c r="F128" s="1"/>
      <c r="G128" s="1"/>
      <c r="H128"/>
      <c r="I128" s="44"/>
    </row>
    <row r="129" spans="1:10" s="3" customFormat="1">
      <c r="A129"/>
      <c r="B129"/>
      <c r="C129"/>
      <c r="D129" s="1"/>
      <c r="E129" s="1"/>
      <c r="F129" s="1"/>
      <c r="G129" s="1"/>
      <c r="H129"/>
      <c r="I129" s="44"/>
    </row>
    <row r="130" spans="1:10" s="3" customFormat="1">
      <c r="A130"/>
      <c r="B130"/>
      <c r="C130"/>
      <c r="D130" s="1"/>
      <c r="E130" s="1"/>
      <c r="F130" s="1"/>
      <c r="G130" s="1"/>
      <c r="H130"/>
      <c r="I130" s="44"/>
    </row>
    <row r="131" spans="1:10" s="3" customFormat="1">
      <c r="A131"/>
      <c r="B131"/>
      <c r="C131"/>
      <c r="D131" s="1"/>
      <c r="E131" s="1"/>
      <c r="F131" s="1"/>
      <c r="G131" s="1"/>
      <c r="H131"/>
      <c r="I131" s="44"/>
    </row>
    <row r="132" spans="1:10">
      <c r="I132" s="23"/>
      <c r="J132" s="2"/>
    </row>
    <row r="133" spans="1:10" s="3" customFormat="1">
      <c r="A133"/>
      <c r="B133"/>
      <c r="C133"/>
      <c r="D133" s="1"/>
      <c r="E133" s="1"/>
      <c r="F133" s="1"/>
      <c r="G133" s="1"/>
      <c r="H133"/>
      <c r="I133" s="44"/>
    </row>
    <row r="134" spans="1:10" s="3" customFormat="1">
      <c r="A134"/>
      <c r="B134"/>
      <c r="C134"/>
      <c r="D134" s="1"/>
      <c r="E134" s="1"/>
      <c r="F134" s="1"/>
      <c r="G134" s="1"/>
      <c r="H134"/>
      <c r="I134" s="44"/>
    </row>
    <row r="135" spans="1:10" s="3" customFormat="1">
      <c r="A135"/>
      <c r="B135"/>
      <c r="C135"/>
      <c r="D135" s="1"/>
      <c r="E135" s="1"/>
      <c r="F135" s="1"/>
      <c r="G135" s="1"/>
      <c r="H135"/>
      <c r="I135" s="44"/>
    </row>
    <row r="136" spans="1:10" s="3" customFormat="1">
      <c r="A136"/>
      <c r="B136"/>
      <c r="C136"/>
      <c r="D136" s="1"/>
      <c r="E136" s="1"/>
      <c r="F136" s="1"/>
      <c r="G136" s="1"/>
      <c r="H136"/>
      <c r="I136" s="44"/>
    </row>
    <row r="137" spans="1:10" s="3" customFormat="1">
      <c r="A137"/>
      <c r="B137"/>
      <c r="C137"/>
      <c r="D137" s="1"/>
      <c r="E137" s="1"/>
      <c r="F137" s="1"/>
      <c r="G137" s="1"/>
      <c r="H137"/>
      <c r="I137" s="44"/>
    </row>
    <row r="138" spans="1:10" s="3" customFormat="1">
      <c r="A138"/>
      <c r="B138"/>
      <c r="C138"/>
      <c r="D138" s="1"/>
      <c r="E138" s="1"/>
      <c r="F138" s="1"/>
      <c r="G138" s="1"/>
      <c r="H138"/>
      <c r="I138" s="44"/>
    </row>
    <row r="139" spans="1:10" s="3" customFormat="1">
      <c r="A139"/>
      <c r="B139"/>
      <c r="C139"/>
      <c r="D139" s="1"/>
      <c r="E139" s="1"/>
      <c r="F139" s="1"/>
      <c r="G139" s="1"/>
      <c r="H139"/>
      <c r="I139" s="44"/>
    </row>
    <row r="140" spans="1:10" s="3" customFormat="1">
      <c r="A140"/>
      <c r="B140"/>
      <c r="C140"/>
      <c r="D140" s="1"/>
      <c r="E140" s="1"/>
      <c r="F140" s="1"/>
      <c r="G140" s="1"/>
      <c r="H140"/>
      <c r="I140" s="44"/>
    </row>
    <row r="141" spans="1:10" s="3" customFormat="1">
      <c r="A141"/>
      <c r="B141"/>
      <c r="C141"/>
      <c r="D141" s="1"/>
      <c r="E141" s="1"/>
      <c r="F141" s="1"/>
      <c r="G141" s="1"/>
      <c r="H141"/>
      <c r="I141" s="44"/>
    </row>
    <row r="142" spans="1:10" s="3" customFormat="1">
      <c r="A142"/>
      <c r="B142"/>
      <c r="C142"/>
      <c r="D142" s="1"/>
      <c r="E142" s="1"/>
      <c r="F142" s="1"/>
      <c r="G142" s="1"/>
      <c r="H142"/>
      <c r="I142" s="44"/>
    </row>
    <row r="143" spans="1:10" s="3" customFormat="1">
      <c r="A143"/>
      <c r="B143"/>
      <c r="C143"/>
      <c r="D143" s="1"/>
      <c r="E143" s="1"/>
      <c r="F143" s="1"/>
      <c r="G143" s="1"/>
      <c r="H143"/>
      <c r="I143" s="44"/>
    </row>
    <row r="144" spans="1:10" s="3" customFormat="1">
      <c r="A144"/>
      <c r="B144"/>
      <c r="C144"/>
      <c r="D144" s="1"/>
      <c r="E144" s="1"/>
      <c r="F144" s="1"/>
      <c r="G144" s="1"/>
      <c r="H144"/>
      <c r="I144" s="44"/>
    </row>
    <row r="145" spans="1:10" s="3" customFormat="1">
      <c r="A145"/>
      <c r="B145"/>
      <c r="C145"/>
      <c r="D145" s="1"/>
      <c r="E145" s="1"/>
      <c r="F145" s="1"/>
      <c r="G145" s="1"/>
      <c r="H145"/>
      <c r="I145" s="44"/>
    </row>
    <row r="146" spans="1:10" s="3" customFormat="1">
      <c r="A146"/>
      <c r="B146"/>
      <c r="C146"/>
      <c r="D146" s="1"/>
      <c r="E146" s="1"/>
      <c r="F146" s="1"/>
      <c r="G146" s="1"/>
      <c r="H146"/>
      <c r="I146" s="44"/>
    </row>
    <row r="147" spans="1:10" s="3" customFormat="1">
      <c r="A147"/>
      <c r="B147"/>
      <c r="C147"/>
      <c r="D147" s="1"/>
      <c r="E147" s="1"/>
      <c r="F147" s="1"/>
      <c r="G147" s="1"/>
      <c r="H147"/>
      <c r="I147" s="44"/>
    </row>
    <row r="148" spans="1:10" s="3" customFormat="1">
      <c r="A148"/>
      <c r="B148"/>
      <c r="C148"/>
      <c r="D148" s="1"/>
      <c r="E148" s="1"/>
      <c r="F148" s="1"/>
      <c r="G148" s="1"/>
      <c r="H148"/>
      <c r="I148" s="44"/>
    </row>
    <row r="149" spans="1:10" s="3" customFormat="1">
      <c r="A149"/>
      <c r="B149"/>
      <c r="C149"/>
      <c r="D149" s="1"/>
      <c r="E149" s="1"/>
      <c r="F149" s="1"/>
      <c r="G149" s="1"/>
      <c r="H149"/>
      <c r="I149" s="44"/>
    </row>
    <row r="150" spans="1:10" s="3" customFormat="1">
      <c r="A150"/>
      <c r="B150"/>
      <c r="C150"/>
      <c r="D150" s="1"/>
      <c r="E150" s="1"/>
      <c r="F150" s="1"/>
      <c r="G150" s="1"/>
      <c r="H150"/>
      <c r="I150" s="44"/>
    </row>
    <row r="151" spans="1:10" s="3" customFormat="1">
      <c r="A151"/>
      <c r="B151"/>
      <c r="C151"/>
      <c r="D151" s="1"/>
      <c r="E151" s="1"/>
      <c r="F151" s="1"/>
      <c r="G151" s="1"/>
      <c r="H151"/>
      <c r="I151" s="44"/>
    </row>
    <row r="152" spans="1:10" s="3" customFormat="1">
      <c r="A152"/>
      <c r="B152"/>
      <c r="C152"/>
      <c r="D152" s="1"/>
      <c r="E152" s="1"/>
      <c r="F152" s="1"/>
      <c r="G152" s="1"/>
      <c r="H152"/>
      <c r="I152" s="44"/>
    </row>
    <row r="153" spans="1:10" s="3" customFormat="1">
      <c r="A153"/>
      <c r="B153"/>
      <c r="C153"/>
      <c r="D153" s="1"/>
      <c r="E153" s="1"/>
      <c r="F153" s="1"/>
      <c r="G153" s="1"/>
      <c r="H153"/>
      <c r="I153" s="44"/>
    </row>
    <row r="154" spans="1:10" s="3" customFormat="1">
      <c r="A154"/>
      <c r="B154"/>
      <c r="C154"/>
      <c r="D154" s="1"/>
      <c r="E154" s="1"/>
      <c r="F154" s="1"/>
      <c r="G154" s="1"/>
      <c r="H154"/>
      <c r="I154" s="44"/>
    </row>
    <row r="155" spans="1:10">
      <c r="I155" s="23"/>
      <c r="J155" s="2"/>
    </row>
    <row r="156" spans="1:10" s="3" customFormat="1">
      <c r="A156"/>
      <c r="B156"/>
      <c r="C156"/>
      <c r="D156" s="1"/>
      <c r="E156" s="1"/>
      <c r="F156" s="1"/>
      <c r="G156" s="1"/>
      <c r="H156"/>
      <c r="I156" s="44"/>
    </row>
    <row r="157" spans="1:10" s="3" customFormat="1">
      <c r="A157"/>
      <c r="B157"/>
      <c r="C157"/>
      <c r="D157" s="1"/>
      <c r="E157" s="1"/>
      <c r="F157" s="1"/>
      <c r="G157" s="1"/>
      <c r="H157"/>
      <c r="I157" s="44"/>
    </row>
    <row r="158" spans="1:10" s="3" customFormat="1">
      <c r="A158"/>
      <c r="B158"/>
      <c r="C158"/>
      <c r="D158" s="1"/>
      <c r="E158" s="1"/>
      <c r="F158" s="1"/>
      <c r="G158" s="1"/>
      <c r="H158"/>
      <c r="I158" s="44"/>
    </row>
    <row r="159" spans="1:10" s="3" customFormat="1">
      <c r="A159"/>
      <c r="B159"/>
      <c r="C159"/>
      <c r="D159" s="1"/>
      <c r="E159" s="1"/>
      <c r="F159" s="1"/>
      <c r="G159" s="1"/>
      <c r="H159"/>
      <c r="I159" s="44"/>
    </row>
    <row r="160" spans="1:10" s="3" customFormat="1">
      <c r="A160"/>
      <c r="B160"/>
      <c r="C160"/>
      <c r="D160" s="1"/>
      <c r="E160" s="1"/>
      <c r="F160" s="1"/>
      <c r="G160" s="1"/>
      <c r="H160"/>
      <c r="I160" s="44"/>
    </row>
    <row r="161" spans="1:10" s="3" customFormat="1">
      <c r="A161"/>
      <c r="B161"/>
      <c r="C161"/>
      <c r="D161" s="1"/>
      <c r="E161" s="1"/>
      <c r="F161" s="1"/>
      <c r="G161" s="1"/>
      <c r="H161"/>
      <c r="I161" s="44"/>
    </row>
    <row r="162" spans="1:10" s="3" customFormat="1">
      <c r="A162"/>
      <c r="B162"/>
      <c r="C162"/>
      <c r="D162" s="1"/>
      <c r="E162" s="1"/>
      <c r="F162" s="1"/>
      <c r="G162" s="1"/>
      <c r="H162"/>
      <c r="I162" s="44"/>
    </row>
    <row r="163" spans="1:10" s="3" customFormat="1">
      <c r="A163"/>
      <c r="B163"/>
      <c r="C163"/>
      <c r="D163" s="1"/>
      <c r="E163" s="1"/>
      <c r="F163" s="1"/>
      <c r="G163" s="1"/>
      <c r="H163"/>
      <c r="I163" s="44"/>
    </row>
    <row r="164" spans="1:10" s="3" customFormat="1">
      <c r="A164"/>
      <c r="B164"/>
      <c r="C164"/>
      <c r="D164" s="1"/>
      <c r="E164" s="1"/>
      <c r="F164" s="1"/>
      <c r="G164" s="1"/>
      <c r="H164"/>
      <c r="I164" s="44"/>
    </row>
    <row r="165" spans="1:10">
      <c r="I165" s="23"/>
      <c r="J165" s="2"/>
    </row>
    <row r="166" spans="1:10">
      <c r="I166" s="23"/>
      <c r="J166" s="2"/>
    </row>
    <row r="167" spans="1:10" s="3" customFormat="1">
      <c r="A167"/>
      <c r="B167"/>
      <c r="C167"/>
      <c r="D167" s="1"/>
      <c r="E167" s="1"/>
      <c r="F167" s="1"/>
      <c r="G167" s="1"/>
      <c r="H167"/>
      <c r="I167" s="44"/>
    </row>
    <row r="168" spans="1:10" s="3" customFormat="1">
      <c r="A168"/>
      <c r="B168"/>
      <c r="C168"/>
      <c r="D168" s="1"/>
      <c r="E168" s="1"/>
      <c r="F168" s="1"/>
      <c r="G168" s="1"/>
      <c r="H168"/>
      <c r="I168" s="44"/>
    </row>
    <row r="169" spans="1:10" s="3" customFormat="1">
      <c r="A169"/>
      <c r="B169"/>
      <c r="C169"/>
      <c r="D169" s="1"/>
      <c r="E169" s="1"/>
      <c r="F169" s="1"/>
      <c r="G169" s="1"/>
      <c r="H169"/>
      <c r="I169" s="44"/>
    </row>
    <row r="170" spans="1:10" s="3" customFormat="1">
      <c r="A170"/>
      <c r="B170"/>
      <c r="C170"/>
      <c r="D170" s="1"/>
      <c r="E170" s="1"/>
      <c r="F170" s="1"/>
      <c r="G170" s="1"/>
      <c r="H170"/>
      <c r="I170" s="44"/>
    </row>
    <row r="171" spans="1:10">
      <c r="I171" s="23"/>
      <c r="J171" s="2"/>
    </row>
    <row r="172" spans="1:10" s="3" customFormat="1">
      <c r="A172"/>
      <c r="B172"/>
      <c r="C172"/>
      <c r="D172" s="1"/>
      <c r="E172" s="1"/>
      <c r="F172" s="1"/>
      <c r="G172" s="1"/>
      <c r="H172"/>
      <c r="I172" s="44"/>
    </row>
    <row r="173" spans="1:10" s="3" customFormat="1">
      <c r="A173"/>
      <c r="B173"/>
      <c r="C173"/>
      <c r="D173" s="1"/>
      <c r="E173" s="1"/>
      <c r="F173" s="1"/>
      <c r="G173" s="1"/>
      <c r="H173"/>
      <c r="I173" s="44"/>
    </row>
    <row r="174" spans="1:10" s="3" customFormat="1">
      <c r="A174"/>
      <c r="B174"/>
      <c r="C174"/>
      <c r="D174" s="1"/>
      <c r="E174" s="1"/>
      <c r="F174" s="1"/>
      <c r="G174" s="1"/>
      <c r="H174"/>
      <c r="I174" s="44"/>
    </row>
    <row r="175" spans="1:10">
      <c r="I175" s="23"/>
      <c r="J175" s="2"/>
    </row>
    <row r="176" spans="1:10" s="3" customFormat="1">
      <c r="A176"/>
      <c r="B176"/>
      <c r="C176"/>
      <c r="D176" s="1"/>
      <c r="E176" s="1"/>
      <c r="F176" s="1"/>
      <c r="G176" s="1"/>
      <c r="H176"/>
      <c r="I176" s="44"/>
    </row>
    <row r="177" spans="1:10" s="3" customFormat="1">
      <c r="A177"/>
      <c r="B177"/>
      <c r="C177"/>
      <c r="D177" s="1"/>
      <c r="E177" s="1"/>
      <c r="F177" s="1"/>
      <c r="G177" s="1"/>
      <c r="H177"/>
      <c r="I177" s="44"/>
    </row>
    <row r="178" spans="1:10" s="3" customFormat="1">
      <c r="A178"/>
      <c r="B178"/>
      <c r="C178"/>
      <c r="D178" s="1"/>
      <c r="E178" s="1"/>
      <c r="F178" s="1"/>
      <c r="G178" s="1"/>
      <c r="H178"/>
      <c r="I178" s="44"/>
    </row>
    <row r="179" spans="1:10">
      <c r="I179" s="23"/>
      <c r="J179" s="2"/>
    </row>
    <row r="180" spans="1:10" s="3" customFormat="1">
      <c r="A180"/>
      <c r="B180"/>
      <c r="C180"/>
      <c r="D180" s="1"/>
      <c r="E180" s="1"/>
      <c r="F180" s="1"/>
      <c r="G180" s="1"/>
      <c r="H180"/>
      <c r="I180" s="44"/>
    </row>
    <row r="181" spans="1:10" s="3" customFormat="1">
      <c r="A181"/>
      <c r="B181"/>
      <c r="C181"/>
      <c r="D181" s="1"/>
      <c r="E181" s="1"/>
      <c r="F181" s="1"/>
      <c r="G181" s="1"/>
      <c r="H181"/>
      <c r="I181" s="44"/>
    </row>
    <row r="182" spans="1:10">
      <c r="I182" s="23"/>
      <c r="J182" s="2"/>
    </row>
    <row r="183" spans="1:10">
      <c r="I183" s="23"/>
      <c r="J183" s="2"/>
    </row>
    <row r="184" spans="1:10" s="3" customFormat="1">
      <c r="A184"/>
      <c r="B184"/>
      <c r="C184"/>
      <c r="D184" s="1"/>
      <c r="E184" s="1"/>
      <c r="F184" s="1"/>
      <c r="G184" s="1"/>
      <c r="H184"/>
      <c r="I184" s="44"/>
    </row>
    <row r="185" spans="1:10" s="3" customFormat="1">
      <c r="A185"/>
      <c r="B185"/>
      <c r="C185"/>
      <c r="D185" s="1"/>
      <c r="E185" s="1"/>
      <c r="F185" s="1"/>
      <c r="G185" s="1"/>
      <c r="H185"/>
      <c r="I185" s="44"/>
    </row>
    <row r="186" spans="1:10">
      <c r="I186" s="23"/>
      <c r="J186" s="2"/>
    </row>
    <row r="187" spans="1:10" s="3" customFormat="1">
      <c r="A187"/>
      <c r="B187"/>
      <c r="C187"/>
      <c r="D187" s="1"/>
      <c r="E187" s="1"/>
      <c r="F187" s="1"/>
      <c r="G187" s="1"/>
      <c r="H187"/>
      <c r="I187" s="44"/>
    </row>
    <row r="188" spans="1:10" s="3" customFormat="1">
      <c r="A188"/>
      <c r="B188"/>
      <c r="C188"/>
      <c r="D188" s="1"/>
      <c r="E188" s="1"/>
      <c r="F188" s="1"/>
      <c r="G188" s="1"/>
      <c r="H188"/>
      <c r="I188" s="44"/>
    </row>
    <row r="189" spans="1:10" s="3" customFormat="1">
      <c r="A189"/>
      <c r="B189"/>
      <c r="C189"/>
      <c r="D189" s="1"/>
      <c r="E189" s="1"/>
      <c r="F189" s="1"/>
      <c r="G189" s="1"/>
      <c r="H189"/>
      <c r="I189" s="44"/>
    </row>
    <row r="190" spans="1:10" s="3" customFormat="1">
      <c r="A190"/>
      <c r="B190"/>
      <c r="C190"/>
      <c r="D190" s="1"/>
      <c r="E190" s="1"/>
      <c r="F190" s="1"/>
      <c r="G190" s="1"/>
      <c r="H190"/>
      <c r="I190" s="44"/>
    </row>
    <row r="191" spans="1:10">
      <c r="I191" s="23"/>
      <c r="J191" s="2"/>
    </row>
    <row r="192" spans="1:10" s="3" customFormat="1">
      <c r="A192"/>
      <c r="B192"/>
      <c r="C192"/>
      <c r="D192" s="1"/>
      <c r="E192" s="1"/>
      <c r="F192" s="1"/>
      <c r="G192" s="1"/>
      <c r="H192"/>
      <c r="I192" s="44"/>
    </row>
    <row r="193" spans="1:10" s="3" customFormat="1">
      <c r="A193"/>
      <c r="B193"/>
      <c r="C193"/>
      <c r="D193" s="1"/>
      <c r="E193" s="1"/>
      <c r="F193" s="1"/>
      <c r="G193" s="1"/>
      <c r="H193"/>
      <c r="I193" s="44"/>
    </row>
    <row r="194" spans="1:10" s="3" customFormat="1">
      <c r="A194"/>
      <c r="B194"/>
      <c r="C194"/>
      <c r="D194" s="1"/>
      <c r="E194" s="1"/>
      <c r="F194" s="1"/>
      <c r="G194" s="1"/>
      <c r="H194"/>
      <c r="I194" s="44"/>
    </row>
    <row r="195" spans="1:10" s="3" customFormat="1">
      <c r="A195"/>
      <c r="B195"/>
      <c r="C195"/>
      <c r="D195" s="1"/>
      <c r="E195" s="1"/>
      <c r="F195" s="1"/>
      <c r="G195" s="1"/>
      <c r="H195"/>
      <c r="I195" s="44"/>
    </row>
    <row r="196" spans="1:10" s="3" customFormat="1">
      <c r="A196"/>
      <c r="B196"/>
      <c r="C196"/>
      <c r="D196" s="1"/>
      <c r="E196" s="1"/>
      <c r="F196" s="1"/>
      <c r="G196" s="1"/>
      <c r="H196"/>
      <c r="I196" s="44"/>
    </row>
    <row r="197" spans="1:10" s="3" customFormat="1">
      <c r="A197"/>
      <c r="B197"/>
      <c r="C197"/>
      <c r="D197" s="1"/>
      <c r="E197" s="1"/>
      <c r="F197" s="1"/>
      <c r="G197" s="1"/>
      <c r="H197"/>
      <c r="I197" s="44"/>
    </row>
    <row r="198" spans="1:10" s="3" customFormat="1">
      <c r="A198"/>
      <c r="B198"/>
      <c r="C198"/>
      <c r="D198" s="1"/>
      <c r="E198" s="1"/>
      <c r="F198" s="1"/>
      <c r="G198" s="1"/>
      <c r="H198"/>
      <c r="I198" s="44"/>
    </row>
    <row r="199" spans="1:10">
      <c r="I199" s="23"/>
      <c r="J199" s="2"/>
    </row>
    <row r="200" spans="1:10" s="3" customFormat="1">
      <c r="A200"/>
      <c r="B200"/>
      <c r="C200"/>
      <c r="D200" s="1"/>
      <c r="E200" s="1"/>
      <c r="F200" s="1"/>
      <c r="G200" s="1"/>
      <c r="H200"/>
      <c r="I200" s="44"/>
    </row>
    <row r="201" spans="1:10" s="3" customFormat="1">
      <c r="A201"/>
      <c r="B201"/>
      <c r="C201"/>
      <c r="D201" s="1"/>
      <c r="E201" s="1"/>
      <c r="F201" s="1"/>
      <c r="G201" s="1"/>
      <c r="H201"/>
      <c r="I201" s="44"/>
    </row>
    <row r="202" spans="1:10" s="3" customFormat="1">
      <c r="A202"/>
      <c r="B202"/>
      <c r="C202"/>
      <c r="D202" s="1"/>
      <c r="E202" s="1"/>
      <c r="F202" s="1"/>
      <c r="G202" s="1"/>
      <c r="H202"/>
      <c r="I202" s="44"/>
    </row>
    <row r="203" spans="1:10">
      <c r="I203" s="23"/>
      <c r="J203" s="2"/>
    </row>
    <row r="204" spans="1:10" s="3" customFormat="1">
      <c r="A204"/>
      <c r="B204"/>
      <c r="C204"/>
      <c r="D204" s="1"/>
      <c r="E204" s="1"/>
      <c r="F204" s="1"/>
      <c r="G204" s="1"/>
      <c r="H204"/>
      <c r="I204" s="44"/>
    </row>
    <row r="205" spans="1:10" s="3" customFormat="1">
      <c r="A205"/>
      <c r="B205"/>
      <c r="C205"/>
      <c r="D205" s="1"/>
      <c r="E205" s="1"/>
      <c r="F205" s="1"/>
      <c r="G205" s="1"/>
      <c r="H205"/>
      <c r="I205" s="44"/>
    </row>
    <row r="206" spans="1:10" s="3" customFormat="1">
      <c r="A206"/>
      <c r="B206"/>
      <c r="C206"/>
      <c r="D206" s="1"/>
      <c r="E206" s="1"/>
      <c r="F206" s="1"/>
      <c r="G206" s="1"/>
      <c r="H206"/>
      <c r="I206" s="44"/>
    </row>
    <row r="207" spans="1:10" s="3" customFormat="1">
      <c r="A207"/>
      <c r="B207"/>
      <c r="C207"/>
      <c r="D207" s="1"/>
      <c r="E207" s="1"/>
      <c r="F207" s="1"/>
      <c r="G207" s="1"/>
      <c r="H207"/>
      <c r="I207" s="44"/>
    </row>
    <row r="208" spans="1:10">
      <c r="I208" s="23"/>
      <c r="J208" s="2"/>
    </row>
    <row r="209" spans="1:10" s="3" customFormat="1">
      <c r="A209"/>
      <c r="B209"/>
      <c r="C209"/>
      <c r="D209" s="1"/>
      <c r="E209" s="1"/>
      <c r="F209" s="1"/>
      <c r="G209" s="1"/>
      <c r="H209"/>
      <c r="I209" s="44"/>
    </row>
    <row r="210" spans="1:10" s="3" customFormat="1">
      <c r="A210"/>
      <c r="B210"/>
      <c r="C210"/>
      <c r="D210" s="1"/>
      <c r="E210" s="1"/>
      <c r="F210" s="1"/>
      <c r="G210" s="1"/>
      <c r="H210"/>
      <c r="I210" s="44"/>
    </row>
    <row r="211" spans="1:10">
      <c r="I211" s="23"/>
      <c r="J211" s="2"/>
    </row>
    <row r="212" spans="1:10">
      <c r="I212" s="23"/>
      <c r="J212" s="2"/>
    </row>
    <row r="213" spans="1:10" s="3" customFormat="1">
      <c r="A213"/>
      <c r="B213"/>
      <c r="C213"/>
      <c r="D213" s="1"/>
      <c r="E213" s="1"/>
      <c r="F213" s="1"/>
      <c r="G213" s="1"/>
      <c r="H213"/>
      <c r="I213" s="44"/>
    </row>
    <row r="214" spans="1:10" s="3" customFormat="1">
      <c r="A214"/>
      <c r="B214"/>
      <c r="C214"/>
      <c r="D214" s="1"/>
      <c r="E214" s="1"/>
      <c r="F214" s="1"/>
      <c r="G214" s="1"/>
      <c r="H214"/>
      <c r="I214" s="44"/>
    </row>
    <row r="215" spans="1:10">
      <c r="I215" s="23"/>
      <c r="J215" s="2"/>
    </row>
    <row r="216" spans="1:10" s="3" customFormat="1">
      <c r="A216"/>
      <c r="B216"/>
      <c r="C216"/>
      <c r="D216" s="1"/>
      <c r="E216" s="1"/>
      <c r="F216" s="1"/>
      <c r="G216" s="1"/>
      <c r="H216"/>
      <c r="I216" s="44"/>
    </row>
    <row r="217" spans="1:10">
      <c r="I217" s="23"/>
      <c r="J217" s="2"/>
    </row>
    <row r="218" spans="1:10" s="3" customFormat="1">
      <c r="A218"/>
      <c r="B218"/>
      <c r="C218"/>
      <c r="D218" s="1"/>
      <c r="E218" s="1"/>
      <c r="F218" s="1"/>
      <c r="G218" s="1"/>
      <c r="H218"/>
      <c r="I218" s="44"/>
    </row>
    <row r="219" spans="1:10" s="3" customFormat="1">
      <c r="A219"/>
      <c r="B219"/>
      <c r="C219"/>
      <c r="D219" s="1"/>
      <c r="E219" s="1"/>
      <c r="F219" s="1"/>
      <c r="G219" s="1"/>
      <c r="H219"/>
      <c r="I219" s="44"/>
    </row>
    <row r="220" spans="1:10">
      <c r="I220" s="23"/>
      <c r="J220" s="2"/>
    </row>
    <row r="221" spans="1:10" s="3" customFormat="1">
      <c r="A221"/>
      <c r="B221"/>
      <c r="C221"/>
      <c r="D221" s="1"/>
      <c r="E221" s="1"/>
      <c r="F221" s="1"/>
      <c r="G221" s="1"/>
      <c r="H221"/>
      <c r="I221" s="44"/>
    </row>
    <row r="222" spans="1:10" s="3" customFormat="1">
      <c r="A222"/>
      <c r="B222"/>
      <c r="C222"/>
      <c r="D222" s="1"/>
      <c r="E222" s="1"/>
      <c r="F222" s="1"/>
      <c r="G222" s="1"/>
      <c r="H222"/>
      <c r="I222" s="44"/>
    </row>
    <row r="223" spans="1:10" s="3" customFormat="1">
      <c r="A223"/>
      <c r="B223"/>
      <c r="C223"/>
      <c r="D223" s="1"/>
      <c r="E223" s="1"/>
      <c r="F223" s="1"/>
      <c r="G223" s="1"/>
      <c r="H223"/>
      <c r="I223" s="44"/>
    </row>
    <row r="224" spans="1:10" s="3" customFormat="1">
      <c r="A224"/>
      <c r="B224"/>
      <c r="C224"/>
      <c r="D224" s="1"/>
      <c r="E224" s="1"/>
      <c r="F224" s="1"/>
      <c r="G224" s="1"/>
      <c r="H224"/>
      <c r="I224" s="44"/>
    </row>
    <row r="225" spans="1:10" s="3" customFormat="1">
      <c r="A225"/>
      <c r="B225"/>
      <c r="C225"/>
      <c r="D225" s="1"/>
      <c r="E225" s="1"/>
      <c r="F225" s="1"/>
      <c r="G225" s="1"/>
      <c r="H225"/>
      <c r="I225" s="44"/>
    </row>
    <row r="226" spans="1:10" s="3" customFormat="1">
      <c r="A226"/>
      <c r="B226"/>
      <c r="C226"/>
      <c r="D226" s="1"/>
      <c r="E226" s="1"/>
      <c r="F226" s="1"/>
      <c r="G226" s="1"/>
      <c r="H226"/>
      <c r="I226" s="44"/>
    </row>
    <row r="227" spans="1:10" s="3" customFormat="1">
      <c r="A227"/>
      <c r="B227"/>
      <c r="C227"/>
      <c r="D227" s="1"/>
      <c r="E227" s="1"/>
      <c r="F227" s="1"/>
      <c r="G227" s="1"/>
      <c r="H227"/>
      <c r="I227" s="44"/>
    </row>
    <row r="228" spans="1:10">
      <c r="I228" s="23"/>
      <c r="J228" s="2"/>
    </row>
    <row r="229" spans="1:10" s="3" customFormat="1">
      <c r="A229"/>
      <c r="B229"/>
      <c r="C229"/>
      <c r="D229" s="1"/>
      <c r="E229" s="1"/>
      <c r="F229" s="1"/>
      <c r="G229" s="1"/>
      <c r="H229"/>
      <c r="I229" s="44"/>
    </row>
    <row r="230" spans="1:10" s="3" customFormat="1">
      <c r="A230"/>
      <c r="B230"/>
      <c r="C230"/>
      <c r="D230" s="1"/>
      <c r="E230" s="1"/>
      <c r="F230" s="1"/>
      <c r="G230" s="1"/>
      <c r="H230"/>
      <c r="I230" s="44"/>
    </row>
    <row r="231" spans="1:10" s="3" customFormat="1">
      <c r="A231"/>
      <c r="B231"/>
      <c r="C231"/>
      <c r="D231" s="1"/>
      <c r="E231" s="1"/>
      <c r="F231" s="1"/>
      <c r="G231" s="1"/>
      <c r="H231"/>
      <c r="I231" s="44"/>
    </row>
    <row r="232" spans="1:10" s="3" customFormat="1">
      <c r="A232"/>
      <c r="B232"/>
      <c r="C232"/>
      <c r="D232" s="1"/>
      <c r="E232" s="1"/>
      <c r="F232" s="1"/>
      <c r="G232" s="1"/>
      <c r="H232"/>
      <c r="I232" s="44"/>
    </row>
    <row r="233" spans="1:10" s="3" customFormat="1">
      <c r="A233"/>
      <c r="B233"/>
      <c r="C233"/>
      <c r="D233" s="1"/>
      <c r="E233" s="1"/>
      <c r="F233" s="1"/>
      <c r="G233" s="1"/>
      <c r="H233"/>
      <c r="I233" s="44"/>
    </row>
    <row r="234" spans="1:10" s="3" customFormat="1">
      <c r="A234"/>
      <c r="B234"/>
      <c r="C234"/>
      <c r="D234" s="1"/>
      <c r="E234" s="1"/>
      <c r="F234" s="1"/>
      <c r="G234" s="1"/>
      <c r="H234"/>
      <c r="I234" s="44"/>
    </row>
    <row r="235" spans="1:10" s="3" customFormat="1">
      <c r="A235"/>
      <c r="B235"/>
      <c r="C235"/>
      <c r="D235" s="1"/>
      <c r="E235" s="1"/>
      <c r="F235" s="1"/>
      <c r="G235" s="1"/>
      <c r="H235"/>
      <c r="I235" s="44"/>
    </row>
    <row r="236" spans="1:10" s="3" customFormat="1">
      <c r="A236"/>
      <c r="B236"/>
      <c r="C236"/>
      <c r="D236" s="1"/>
      <c r="E236" s="1"/>
      <c r="F236" s="1"/>
      <c r="G236" s="1"/>
      <c r="H236"/>
      <c r="I236" s="44"/>
    </row>
    <row r="237" spans="1:10" s="3" customFormat="1">
      <c r="A237"/>
      <c r="B237"/>
      <c r="C237"/>
      <c r="D237" s="1"/>
      <c r="E237" s="1"/>
      <c r="F237" s="1"/>
      <c r="G237" s="1"/>
      <c r="H237"/>
      <c r="I237" s="44"/>
    </row>
    <row r="238" spans="1:10" s="3" customFormat="1">
      <c r="A238"/>
      <c r="B238"/>
      <c r="C238"/>
      <c r="D238" s="1"/>
      <c r="E238" s="1"/>
      <c r="F238" s="1"/>
      <c r="G238" s="1"/>
      <c r="H238"/>
      <c r="I238" s="44"/>
    </row>
    <row r="239" spans="1:10" s="3" customFormat="1">
      <c r="A239"/>
      <c r="B239"/>
      <c r="C239"/>
      <c r="D239" s="1"/>
      <c r="E239" s="1"/>
      <c r="F239" s="1"/>
      <c r="G239" s="1"/>
      <c r="H239"/>
      <c r="I239" s="44"/>
    </row>
    <row r="240" spans="1:10" s="3" customFormat="1">
      <c r="A240"/>
      <c r="B240"/>
      <c r="C240"/>
      <c r="D240" s="1"/>
      <c r="E240" s="1"/>
      <c r="F240" s="1"/>
      <c r="G240" s="1"/>
      <c r="H240"/>
      <c r="I240" s="44"/>
    </row>
    <row r="241" spans="1:10" s="3" customFormat="1">
      <c r="A241"/>
      <c r="B241"/>
      <c r="C241"/>
      <c r="D241" s="1"/>
      <c r="E241" s="1"/>
      <c r="F241" s="1"/>
      <c r="G241" s="1"/>
      <c r="H241"/>
      <c r="I241" s="44"/>
    </row>
    <row r="242" spans="1:10" s="3" customFormat="1">
      <c r="A242"/>
      <c r="B242"/>
      <c r="C242"/>
      <c r="D242" s="1"/>
      <c r="E242" s="1"/>
      <c r="F242" s="1"/>
      <c r="G242" s="1"/>
      <c r="H242"/>
      <c r="I242" s="44"/>
    </row>
    <row r="243" spans="1:10" s="3" customFormat="1">
      <c r="A243"/>
      <c r="B243"/>
      <c r="C243"/>
      <c r="D243" s="1"/>
      <c r="E243" s="1"/>
      <c r="F243" s="1"/>
      <c r="G243" s="1"/>
      <c r="H243"/>
      <c r="I243" s="44"/>
    </row>
    <row r="244" spans="1:10" s="3" customFormat="1">
      <c r="A244"/>
      <c r="B244"/>
      <c r="C244"/>
      <c r="D244" s="1"/>
      <c r="E244" s="1"/>
      <c r="F244" s="1"/>
      <c r="G244" s="1"/>
      <c r="H244"/>
      <c r="I244" s="44"/>
    </row>
    <row r="245" spans="1:10" s="3" customFormat="1">
      <c r="A245"/>
      <c r="B245"/>
      <c r="C245"/>
      <c r="D245" s="1"/>
      <c r="E245" s="1"/>
      <c r="F245" s="1"/>
      <c r="G245" s="1"/>
      <c r="H245"/>
      <c r="I245" s="44"/>
    </row>
    <row r="246" spans="1:10" s="3" customFormat="1">
      <c r="A246"/>
      <c r="B246"/>
      <c r="C246"/>
      <c r="D246" s="1"/>
      <c r="E246" s="1"/>
      <c r="F246" s="1"/>
      <c r="G246" s="1"/>
      <c r="H246"/>
      <c r="I246" s="44"/>
    </row>
    <row r="247" spans="1:10" s="3" customFormat="1">
      <c r="A247"/>
      <c r="B247"/>
      <c r="C247"/>
      <c r="D247" s="1"/>
      <c r="E247" s="1"/>
      <c r="F247" s="1"/>
      <c r="G247" s="1"/>
      <c r="H247"/>
      <c r="I247" s="44"/>
    </row>
    <row r="248" spans="1:10" s="3" customFormat="1">
      <c r="A248"/>
      <c r="B248"/>
      <c r="C248"/>
      <c r="D248" s="1"/>
      <c r="E248" s="1"/>
      <c r="F248" s="1"/>
      <c r="G248" s="1"/>
      <c r="H248"/>
      <c r="I248" s="44"/>
    </row>
    <row r="249" spans="1:10" s="3" customFormat="1">
      <c r="A249"/>
      <c r="B249"/>
      <c r="C249"/>
      <c r="D249" s="1"/>
      <c r="E249" s="1"/>
      <c r="F249" s="1"/>
      <c r="G249" s="1"/>
      <c r="H249"/>
      <c r="I249" s="44"/>
    </row>
    <row r="250" spans="1:10" s="3" customFormat="1">
      <c r="A250"/>
      <c r="B250"/>
      <c r="C250"/>
      <c r="D250" s="1"/>
      <c r="E250" s="1"/>
      <c r="F250" s="1"/>
      <c r="G250" s="1"/>
      <c r="H250"/>
      <c r="I250" s="44"/>
    </row>
    <row r="251" spans="1:10" s="3" customFormat="1">
      <c r="A251"/>
      <c r="B251"/>
      <c r="C251"/>
      <c r="D251" s="1"/>
      <c r="E251" s="1"/>
      <c r="F251" s="1"/>
      <c r="G251" s="1"/>
      <c r="H251"/>
      <c r="I251" s="44"/>
    </row>
    <row r="252" spans="1:10" s="3" customFormat="1">
      <c r="A252"/>
      <c r="B252"/>
      <c r="C252"/>
      <c r="D252" s="1"/>
      <c r="E252" s="1"/>
      <c r="F252" s="1"/>
      <c r="G252" s="1"/>
      <c r="H252"/>
      <c r="I252" s="44"/>
    </row>
    <row r="253" spans="1:10" s="3" customFormat="1">
      <c r="A253"/>
      <c r="B253"/>
      <c r="C253"/>
      <c r="D253" s="1"/>
      <c r="E253" s="1"/>
      <c r="F253" s="1"/>
      <c r="G253" s="1"/>
      <c r="H253"/>
      <c r="I253" s="44"/>
    </row>
    <row r="254" spans="1:10" s="3" customFormat="1">
      <c r="A254"/>
      <c r="B254"/>
      <c r="C254"/>
      <c r="D254" s="1"/>
      <c r="E254" s="1"/>
      <c r="F254" s="1"/>
      <c r="G254" s="1"/>
      <c r="H254"/>
      <c r="I254" s="44"/>
    </row>
    <row r="255" spans="1:10" s="3" customFormat="1">
      <c r="A255"/>
      <c r="B255"/>
      <c r="C255"/>
      <c r="D255" s="1"/>
      <c r="E255" s="1"/>
      <c r="F255" s="1"/>
      <c r="G255" s="1"/>
      <c r="H255"/>
      <c r="I255" s="44"/>
    </row>
    <row r="256" spans="1:10">
      <c r="I256" s="23"/>
      <c r="J256" s="2"/>
    </row>
    <row r="257" spans="1:10" s="3" customFormat="1">
      <c r="A257"/>
      <c r="B257"/>
      <c r="C257"/>
      <c r="D257" s="1"/>
      <c r="E257" s="1"/>
      <c r="F257" s="1"/>
      <c r="G257" s="1"/>
      <c r="H257"/>
      <c r="I257" s="44"/>
    </row>
    <row r="258" spans="1:10" s="3" customFormat="1">
      <c r="A258"/>
      <c r="B258"/>
      <c r="C258"/>
      <c r="D258" s="1"/>
      <c r="E258" s="1"/>
      <c r="F258" s="1"/>
      <c r="G258" s="1"/>
      <c r="H258"/>
      <c r="I258" s="44"/>
    </row>
    <row r="259" spans="1:10" s="3" customFormat="1">
      <c r="A259"/>
      <c r="B259"/>
      <c r="C259"/>
      <c r="D259" s="1"/>
      <c r="E259" s="1"/>
      <c r="F259" s="1"/>
      <c r="G259" s="1"/>
      <c r="H259"/>
      <c r="I259" s="44"/>
    </row>
    <row r="260" spans="1:10" s="3" customFormat="1">
      <c r="A260"/>
      <c r="B260"/>
      <c r="C260"/>
      <c r="D260" s="1"/>
      <c r="E260" s="1"/>
      <c r="F260" s="1"/>
      <c r="G260" s="1"/>
      <c r="H260"/>
      <c r="I260" s="44"/>
    </row>
    <row r="261" spans="1:10" s="3" customFormat="1">
      <c r="A261"/>
      <c r="B261"/>
      <c r="C261"/>
      <c r="D261" s="1"/>
      <c r="E261" s="1"/>
      <c r="F261" s="1"/>
      <c r="G261" s="1"/>
      <c r="H261"/>
      <c r="I261" s="44"/>
    </row>
    <row r="262" spans="1:10" s="3" customFormat="1">
      <c r="A262"/>
      <c r="B262"/>
      <c r="C262"/>
      <c r="D262" s="1"/>
      <c r="E262" s="1"/>
      <c r="F262" s="1"/>
      <c r="G262" s="1"/>
      <c r="H262"/>
      <c r="I262" s="44"/>
    </row>
    <row r="263" spans="1:10" s="3" customFormat="1">
      <c r="A263"/>
      <c r="B263"/>
      <c r="C263"/>
      <c r="D263" s="1"/>
      <c r="E263" s="1"/>
      <c r="F263" s="1"/>
      <c r="G263" s="1"/>
      <c r="H263"/>
      <c r="I263" s="44"/>
    </row>
    <row r="264" spans="1:10" s="3" customFormat="1">
      <c r="A264"/>
      <c r="B264"/>
      <c r="C264"/>
      <c r="D264" s="1"/>
      <c r="E264" s="1"/>
      <c r="F264" s="1"/>
      <c r="G264" s="1"/>
      <c r="H264"/>
      <c r="I264" s="44"/>
    </row>
    <row r="265" spans="1:10" s="3" customFormat="1">
      <c r="A265"/>
      <c r="B265"/>
      <c r="C265"/>
      <c r="D265" s="1"/>
      <c r="E265" s="1"/>
      <c r="F265" s="1"/>
      <c r="G265" s="1"/>
      <c r="H265"/>
      <c r="I265" s="44"/>
    </row>
    <row r="266" spans="1:10" s="3" customFormat="1">
      <c r="A266"/>
      <c r="B266"/>
      <c r="C266"/>
      <c r="D266" s="1"/>
      <c r="E266" s="1"/>
      <c r="F266" s="1"/>
      <c r="G266" s="1"/>
      <c r="H266"/>
      <c r="I266" s="44"/>
    </row>
    <row r="267" spans="1:10" s="3" customFormat="1">
      <c r="A267"/>
      <c r="B267"/>
      <c r="C267"/>
      <c r="D267" s="1"/>
      <c r="E267" s="1"/>
      <c r="F267" s="1"/>
      <c r="G267" s="1"/>
      <c r="H267"/>
      <c r="I267" s="44"/>
    </row>
    <row r="268" spans="1:10">
      <c r="I268" s="23"/>
      <c r="J268" s="2"/>
    </row>
    <row r="269" spans="1:10" s="3" customFormat="1">
      <c r="A269"/>
      <c r="B269"/>
      <c r="C269"/>
      <c r="D269" s="1"/>
      <c r="E269" s="1"/>
      <c r="F269" s="1"/>
      <c r="G269" s="1"/>
      <c r="H269"/>
      <c r="I269" s="44"/>
    </row>
    <row r="270" spans="1:10" s="3" customFormat="1">
      <c r="A270"/>
      <c r="B270"/>
      <c r="C270"/>
      <c r="D270" s="1"/>
      <c r="E270" s="1"/>
      <c r="F270" s="1"/>
      <c r="G270" s="1"/>
      <c r="H270"/>
      <c r="I270" s="44"/>
    </row>
    <row r="271" spans="1:10" s="3" customFormat="1">
      <c r="A271"/>
      <c r="B271"/>
      <c r="C271"/>
      <c r="D271" s="1"/>
      <c r="E271" s="1"/>
      <c r="F271" s="1"/>
      <c r="G271" s="1"/>
      <c r="H271"/>
      <c r="I271" s="44"/>
    </row>
    <row r="272" spans="1:10" s="3" customFormat="1">
      <c r="A272"/>
      <c r="B272"/>
      <c r="C272"/>
      <c r="D272" s="1"/>
      <c r="E272" s="1"/>
      <c r="F272" s="1"/>
      <c r="G272" s="1"/>
      <c r="H272"/>
      <c r="I272" s="44"/>
    </row>
    <row r="273" spans="9:9">
      <c r="I273" s="23"/>
    </row>
    <row r="274" spans="9:9">
      <c r="I274" s="23"/>
    </row>
    <row r="275" spans="9:9">
      <c r="I275" s="23"/>
    </row>
    <row r="276" spans="9:9">
      <c r="I276" s="23"/>
    </row>
    <row r="277" spans="9:9">
      <c r="I277" s="23"/>
    </row>
    <row r="278" spans="9:9">
      <c r="I278" s="23"/>
    </row>
    <row r="279" spans="9:9">
      <c r="I279" s="23"/>
    </row>
  </sheetData>
  <sheetProtection algorithmName="SHA-512" hashValue="4+C4wKiNeE/oN9j5mtlsk3pxa1rMEk8lKmcM/jXuyK2FQzBmt6EIeuE3SM6v4GGmjuvjO6IAsTM8qdJp7nvBJw==" saltValue="gPuWvmRBYllSEmqkgiFY/w==" spinCount="100000" sheet="1" objects="1" scenarios="1"/>
  <hyperlinks>
    <hyperlink ref="A7" r:id="rId1" display="https://support.industry.siemens.com/cs/document/109801320/sinumerik-one-universal?lc=en-us" xr:uid="{9AD959B2-FBAA-43F5-A4B2-0C368E3A1C70}"/>
    <hyperlink ref="A8" r:id="rId2" display="https://support.industry.siemens.com/cs/document/109801302/sinumerik-one-turning?lc=en-us" xr:uid="{4E252300-B2C7-4778-B8EA-097108D4F2DB}"/>
    <hyperlink ref="A9" r:id="rId3" display="https://support.industry.siemens.com/cs/document/109801317/sinumerik-one-milling?lc=en-us" xr:uid="{516D3F9B-729E-41EE-A6BF-B7493B05488B}"/>
    <hyperlink ref="A10" r:id="rId4" display="https://support.industry.siemens.com/cs/document/109801322/sinumerik-one-grinding?lc=en-us" xr:uid="{DF22B4F7-8D78-41C6-B840-4B18E8CA98AE}"/>
    <hyperlink ref="A11" r:id="rId5" display="https://support.industry.siemens.com/cs/document/109782751/sinumerik-access-mymachine-p2p-(pc)?lc=en-us" xr:uid="{31DCC97E-8289-4BC8-B835-59602FE21EEC}"/>
    <hyperlink ref="A12" r:id="rId6" display="https://support.industry.siemens.com/cs/document/109801325/sinumerik-one-sinamics-s120-alarms?lc=en-us" xr:uid="{4DDF9FCB-6139-4CE9-8112-E9A8B1628ACE}"/>
    <hyperlink ref="A15" r:id="rId7" display="https://support.industry.siemens.com/cs/document/109801331/sinumerik-one-measuring-cycles?lc=en-us" xr:uid="{0A139892-E597-45FE-9071-6C6E46EF13A3}"/>
    <hyperlink ref="A16" r:id="rId8" display="https://support.industry.siemens.com/cs/document/109801355/sinumerik-one-nc-programming?lc=en-us" xr:uid="{CBD1D489-C676-4EF6-9070-FAF8A48AAEC2}"/>
    <hyperlink ref="A19" r:id="rId9" display="https://support.industry.siemens.com/cs/document/109801339/sinumerik-one-basic-functions?lc=en-us" xr:uid="{1D486E0C-38DC-4F13-B417-028D0659C923}"/>
    <hyperlink ref="A20" r:id="rId10" display="https://support.industry.siemens.com/cs/document/109801346/sinumerik-one-axes-and-spindles?lc=en-us" xr:uid="{9ACDBA73-638A-42D7-BA14-11FEBCAA0EFB}"/>
    <hyperlink ref="A21" r:id="rId11" display="https://support.industry.siemens.com/cs/document/109801344/sinumerik-one-plc?lc=en-us" xr:uid="{C0C7093D-60CE-49B5-B989-8DE5D5F3AD64}"/>
    <hyperlink ref="A22" r:id="rId12" display="https://support.industry.siemens.com/cs/document/109801338/sinumerik-one-synchronized-actions?lc=en-us" xr:uid="{170FD92D-2032-49FA-82DC-E44357D1607B}"/>
    <hyperlink ref="A23" r:id="rId13" display="https://support.industry.siemens.com/cs/document/109801337/sinumerik-one-technologies?lc=en-us" xr:uid="{91B17D35-C3D6-4FC3-8153-AAED274463B3}"/>
    <hyperlink ref="A24" r:id="rId14" display="https://support.industry.siemens.com/cs/document/109801200/sinumerik-840d-sl-transformations?lc=en-us" xr:uid="{D30663DF-4EF3-4BBD-A689-CB14875FC07B}"/>
    <hyperlink ref="A25" r:id="rId15" display="https://support.industry.siemens.com/cs/document/109801340/sinumerik-one-monitoring-and-compensating?lc=en-us" xr:uid="{FE47C04D-A06A-49C5-B9D7-4507AD76D295}"/>
    <hyperlink ref="A26" r:id="rId16" display="https://support.industry.siemens.com/cs/document/109801342/sinumerik-one-tools?lc=en-us" xr:uid="{D5F8CB0F-0E28-4DAC-8BD0-B3F5DF8027F4}"/>
    <hyperlink ref="A27" r:id="rId17" display="https://support.industry.siemens.com/cs/document/109801343/sinumerik-one-tool-management?lc=en-us" xr:uid="{B30C9240-8842-4162-9BC8-F1FA1B56E82F}"/>
    <hyperlink ref="A30" r:id="rId18" display="https://support.industry.siemens.com/cs/document/109804175/sinumerik-one-ncu-1740?lc=en-us" xr:uid="{2833A41D-BAF0-4F90-A54A-BF09C75A3AD3}"/>
    <hyperlink ref="A31" r:id="rId19" display="https://support.industry.siemens.com/cs/document/109780351/sinumerik-one-ncu-1750?lc=en-us" xr:uid="{390914FA-5A49-4DE4-AD3B-82E5D6311033}"/>
    <hyperlink ref="A32" r:id="rId20" display="https://support.industry.siemens.com/cs/document/109780352/sinumerik-one-ncu-1760?lc=en-us" xr:uid="{38FC925B-FA30-4DC9-9094-9DF6C5BEF575}"/>
    <hyperlink ref="A33" r:id="rId21" display="https://support.industry.siemens.com/cs/document/109777867/sinumerik-one-ppu-1740?lc=en-us" xr:uid="{71AFB8A0-7967-42C7-B17B-1AD69A1805F1}"/>
    <hyperlink ref="A36" r:id="rId22" display="https://support.industry.siemens.com/cs/document/109801341/sinumerik-one-works-steps-for-configuring-and-commissioning?lc=en-us" xr:uid="{E9F3EB10-D47C-414A-BCFC-AC50920A945C}"/>
    <hyperlink ref="A37" r:id="rId23" display="https://support.industry.siemens.com/cs/document/109801333/sinumerik-one-final-commissioning-steps?lc=en-us" xr:uid="{30B45C88-2238-46B0-BF2A-DE501A977CEC}"/>
    <hyperlink ref="A38" r:id="rId24" display="https://support.industry.siemens.com/cs/document/109801012/sinumerik-one-create-myconfig-diff-expert-topo?lc=en-us" xr:uid="{04002CC4-E20B-4D1A-BE27-BFC4CBA3B717}"/>
    <hyperlink ref="A39" r:id="rId25" display="https://support.industry.siemens.com/cs/document/109801363/sinumerik-one-migration?lc=en-us" xr:uid="{DDA31901-9614-418E-95F6-4B09EB115A11}"/>
    <hyperlink ref="A40" r:id="rId26" display="https://support.industry.siemens.com/cs/document/108862708/sinumerik-simotion-sinamics-industrial-security?lc=en-us" xr:uid="{251697D8-FD0D-4529-A69F-202AB8CF61CA}"/>
    <hyperlink ref="A43" r:id="rId27" display="https://support.industry.siemens.com/cs/document/109801347/sinumerik-one-new-installation-and-upgrade?lc=en-us" xr:uid="{DEDE5185-36C6-443E-B1F8-44D25A777DE2}"/>
    <hyperlink ref="A44" r:id="rId28" display="https://support.industry.siemens.com/cs/document/109801332/sinumerik-one-pcu-base-for-ipc?lc=en-us" xr:uid="{0D42F537-96F3-46E2-9558-4B26ADBF85F0}"/>
    <hyperlink ref="A45" r:id="rId29" display="https://support.industry.siemens.com/cs/document/109801348/sinumerik-one-creating-a-sinumerik-service-system?lc=en-us" xr:uid="{6830671B-B1E5-41BC-9C18-CF39FE52A4EF}"/>
    <hyperlink ref="A46" r:id="rId30" display="https://support.industry.siemens.com/cs/document/109801357/sinumerik-one-sinumerik-integrate-run-myscreens?lc=en-us" xr:uid="{12FE841C-DF3C-4171-9C7A-45312D9FF6E7}"/>
    <hyperlink ref="A47" r:id="rId31" display="https://support.industry.siemens.com/cs/document/109782751/sinumerik-access-mymachine-p2p-(pc)?lc=en-us" xr:uid="{38E4FE27-53D2-4E74-8FBA-62148678C869}"/>
    <hyperlink ref="A48" r:id="rId32" display="https://support.industry.siemens.com/cs/document/109801360/sinumerik-access-mymachine-opc-ua?lc=en-us" xr:uid="{1100476D-B35F-404B-8BDD-000286107A03}"/>
    <hyperlink ref="A51" r:id="rId33" display="https://support.industry.siemens.com/cs/document/109801334/installing-sinumerik-one-cmvm?lc=en-us" xr:uid="{D30CE172-7FEB-4310-9EB2-C6CCBA6869CD}"/>
    <hyperlink ref="A52" r:id="rId34" display="https://support.industry.siemens.com/cs/document/109801350/installing-sinumerik-one-run-myvirtual-machine?lc=en-us" xr:uid="{38FD5590-D3B8-4713-BA1E-BBC209942DFF}"/>
    <hyperlink ref="A53" r:id="rId35" display="https://support.industry.siemens.com/cs/document/109801349/installing-sinumerik-one-cnc-sw?lc=en-us" xr:uid="{D955D0C4-9AA3-4210-B462-01B04961134F}"/>
    <hyperlink ref="A54" r:id="rId36" display="https://support.industry.siemens.com/cs/document/109801354/-sinumerik-one-simdrive?lc=en-us" xr:uid="{31B08787-FE39-4DF4-836D-843C9EB4612D}"/>
    <hyperlink ref="A55" r:id="rId37" display="https://support.industry.siemens.com/cs/document/109801361/sinumerik-one-create-myvirtual-machine?lc=en-us" xr:uid="{F8B53557-D95D-4F26-A324-3FD559488019}"/>
    <hyperlink ref="A56" r:id="rId38" display="https://support.industry.siemens.com/cs/document/109801362/sinumerik-one-run-myvirtual-machine?lc=en-us" xr:uid="{FB2441FC-6608-47D0-B8E8-C6CCE485120E}"/>
    <hyperlink ref="A57" r:id="rId39" display="https://support.industry.siemens.com/cs/document/109792526/protect-mymachine-3d-twin-and-create-myvirtual-machine-3d-3d-machine-model?lc=en-us" xr:uid="{4C067BAA-2EEF-49FB-B4B4-D5AE59EBF8A6}"/>
    <hyperlink ref="A60" r:id="rId40" display="https://support.industry.siemens.com/cs/document/109801301/sinumerik-create-run-myvirtual-machine-open-interface-valid-for-v1.2?lc=en-us" xr:uid="{B633E1CA-76FD-4DEB-B035-EAD17B7E6F0C}"/>
    <hyperlink ref="A61" r:id="rId41" display="https://support.industry.siemens.com/cs/document/109801353/sinumerik-one-sinamics-s120-machine-data-and-parameters?lc=en-us" xr:uid="{73D11E84-C815-4FDD-A718-7DE8F2C2530A}"/>
    <hyperlink ref="A62" r:id="rId42" display="https://support.industry.siemens.com/cs/document/109801300/sinumerik-one-nc-variables?lc=en-us" xr:uid="{9FB59287-436D-4940-9E2B-2EE748AF8A1E}"/>
    <hyperlink ref="A63" r:id="rId43" display="https://support.industry.siemens.com/cs/document/109801352/sinumerik-one-system-variables?lc=en-us" xr:uid="{DC532AD3-F578-4458-B4B3-2B419C77570A}"/>
    <hyperlink ref="A64" r:id="rId44" display="https://support.industry.siemens.com/cs/document/60612658/emc-design-guidelines-configuration-manual-01-2012?lc=en-us" xr:uid="{1D1B985D-D1FD-4BE5-A821-EEA52C695C3C}"/>
    <hyperlink ref="A67" r:id="rId45" display="https://support.industry.siemens.com/cs/document/109801192/sinumerik-operate-acceptance-test?lc=en-us" xr:uid="{1F11AD94-7636-45BA-8416-4FCC92018BF2}"/>
    <hyperlink ref="A68" r:id="rId46" display="https://support.industry.siemens.com/cs/document/109801335/sinumerik-one-safety-integrated?lc=en-us" xr:uid="{DCB47CFA-4DC6-4F07-B573-463E4776A19C}"/>
    <hyperlink ref="A69" r:id="rId47" display="https://support.industry.siemens.com/cs/document/109781722/sinamics-s120-safety-integrated-function-manual?lc=en-us" xr:uid="{474D11F2-FF96-46AE-8F75-E7FD0CD59F47}"/>
    <hyperlink ref="A72" r:id="rId48" display="https://support.industry.siemens.com/cs/document/109762882?lc=en-us" xr:uid="{E20965FD-8DA6-4C1E-B1A8-82749FB353AD}"/>
    <hyperlink ref="A73" r:id="rId49" display="https://support.industry.siemens.com/cs/document/109762409/milling-with-sinumerik-mold-making-with-3-to-5-axis-simultaneous-milling?lc=en-us" xr:uid="{CBB9E980-C5A7-484F-A5F3-78589AB8DFC3}"/>
    <hyperlink ref="A74" r:id="rId50" display="https://support.industry.siemens.com/cs/document/109741625/sinumerik-828d-840d-sl-operating-and-programming-milling?lc=en-us" xr:uid="{FCA87B7C-5BC4-4F2F-ABBF-DEBBC13F7AEF}"/>
    <hyperlink ref="A75" r:id="rId51" display="https://support.industry.siemens.com/cs/document/109741626/sinumerik-828d-840d-sl-operating-and-programming-turning?lc=en-us" xr:uid="{97BD404E-347B-4DD3-845F-AC5FF411178E}"/>
    <hyperlink ref="A76" r:id="rId52" display="https://support.industry.siemens.com/cs/document/109783148/turning-made-easy-with-shopturn?lc=en-us" xr:uid="{884C760B-0334-4B98-AD3D-B380111FE92D}"/>
    <hyperlink ref="A77" r:id="rId53" display="https://support.industry.siemens.com/cs/document/109783147/milling-made-easy-with-shopmill?lc=en-us" xr:uid="{0923B132-DDDB-4794-8C22-7E7F7A84A1AD}"/>
    <hyperlink ref="A78" r:id="rId54" display="https://support.industry.siemens.com/cs/document/109804606/sinumerik-one-with-sinumerik-operate-milling?lc=en-us" xr:uid="{408DA37C-6861-49A9-AF98-3ACFF0B169CB}"/>
    <hyperlink ref="A79" r:id="rId55" display="https://support.industry.siemens.com/cs/document/109776631/catalog-nc-63-sinumerik-one-function-overview?lc=en-us" xr:uid="{AF04B835-8384-45B1-8BD5-9BC654D034C3}"/>
    <hyperlink ref="A80" r:id="rId56" display="https://mall.industry.siemens.com/mall/de/de/Catalog/Products/10361265" xr:uid="{08D816D1-AF7E-4BAB-8AD3-6CECCD111BAF}"/>
    <hyperlink ref="A83" r:id="rId57" display="https://support.industry.siemens.com/cs/document/109771801/sinamics-s120-booksize-c-d-type-power-units?lc=en-us" xr:uid="{87B12048-C17B-4A36-900F-B68C264141E8}"/>
    <hyperlink ref="A84" r:id="rId58" display="https://support.industry.siemens.com/cs/document/109782370/sinamics-s120-control-units-and-additional-system-components-?lc=en-us" xr:uid="{DB25E161-7D17-4FFE-B35D-B4FDFBEF3515}"/>
    <hyperlink ref="A85" r:id="rId59" display="https://support.industry.siemens.com/cs/document/109781351/sinamics-s120-booksize-power-units?lc=en-us" xr:uid="{C99CD240-B6BC-40CF-969F-02EAD6910E41}"/>
    <hyperlink ref="A86" r:id="rId60" display="https://support.industry.siemens.com/cs/document/109771795/sinamics-s120-ac-drive?lc=en-us" xr:uid="{9514269F-C845-4CD8-9A14-78B35491ACF3}"/>
    <hyperlink ref="A87" r:id="rId61" display="https://support.industry.siemens.com/cs/document/109767635/sinamics-s120-combi?lc=en-us" xr:uid="{28366917-732E-4238-AE90-57DFAA926724}"/>
    <hyperlink ref="A88" r:id="rId62" display="https://support.industry.siemens.com/cs/document/109770194/sinamics-s120-air-cooled-chassis-power-units?lc=en-us" xr:uid="{55BC1417-4203-48C4-A508-F6C574D89E69}"/>
    <hyperlink ref="A89" r:id="rId63" display="https://support.industry.siemens.com/cs/document/109771822/sinamics-s120m-manual-distributed-drive-technology?lc=en-us" xr:uid="{5E697436-3026-4F56-96C9-F9887ABB39B1}"/>
    <hyperlink ref="A90" r:id="rId64" display="https://support.industry.siemens.com/cs/document/109781723/sinamics-s120-hydraulic-drive?lc=en-us" xr:uid="{B6A6AF2F-48B0-42D3-ABD4-8E4F50E1323E}"/>
    <hyperlink ref="A91" r:id="rId65" display="https://support.industry.siemens.com/cs/document/109479610/sinamics-s120-high-frequency-drive?lc=en-us" xr:uid="{FCE45B92-4E45-4F9B-A1C4-0CF206A6AF03}"/>
    <hyperlink ref="A92" r:id="rId66" display="https://support.industry.siemens.com/cs/document/109760445/sinamics-s120-requirements-placed-on-third-party-motors?lc=en-us" xr:uid="{F01FBB98-D084-4236-8C74-B4C4772B9AFE}"/>
    <hyperlink ref="A93" r:id="rId67" display="https://support.industry.siemens.com/cs/document/109754313/sinamics-s120-commissioning-manual-with-starter?lc=en-us" xr:uid="{1CAB8A9D-C317-4119-ACAE-94EE3245332F}"/>
    <hyperlink ref="A94" r:id="rId68" display="https://support.industry.siemens.com/cs/document/109781807/sinamics-s120-s150?lc=en-us" xr:uid="{2042A0A2-15C5-4350-868C-150328895654}"/>
    <hyperlink ref="A95" r:id="rId69" display="https://support.industry.siemens.com/cs/document/109754314/sinamics-s120-getting-started-with-starter?lc=en-us" xr:uid="{DB5E3C44-EDB9-4BC3-A42F-3198FE18C2E3}"/>
    <hyperlink ref="A96" r:id="rId70" display="https://support.industry.siemens.com/cs/document/109781535/sinamics-s120-function-manual-for-drive-functions?lc=en-us" xr:uid="{F6D5DC01-4114-48AC-8478-9F2CEC6EF8B8}"/>
    <hyperlink ref="A97" r:id="rId71" display="https://support.industry.siemens.com/cs/document/109781721/sinamics-s120-function-manual-communication?lc=en-us" xr:uid="{116F6CC7-3A4B-4529-B814-BE83702F054C}"/>
    <hyperlink ref="A98" r:id="rId72" display="https://support.industry.siemens.com/cs/document/109760408/sinamics-technology-extension-installation-description?lc=en-us" xr:uid="{E077EDD5-A4A8-4ACD-86B4-A0AC4B9D1138}"/>
    <hyperlink ref="A99" r:id="rId73" display="https://support.industry.siemens.com/cs/document/109758101/sinamics-technology-extension-polygon-master-value-dependent-characteristic-functionality?lc=en-us" xr:uid="{CC23B140-A90D-49C9-8902-6B5DE714D2D1}"/>
    <hyperlink ref="A100" r:id="rId74" display="https://support.industry.siemens.com/cs/document/109758102/sinamics-technology-extension-vibx-(vibration-extinction)?lc=en-us" xr:uid="{BBE25770-F992-4904-8714-E574655A0F97}"/>
    <hyperlink ref="A101" r:id="rId75" display="https://support.industry.siemens.com/cs/document/109779937/sinamics-technology-extension-servcoup-(servo-coupling)?lc=en-us" xr:uid="{852FEB81-7E28-424B-A48E-513A2200E8B0}"/>
    <hyperlink ref="A102" r:id="rId76" display="https://support.industry.siemens.com/cs/document/109779338/sinamics-technology-extension-dcdcconv-(dc-dc-converter)?lc=en-us" xr:uid="{9F90097A-729E-42FD-84DA-4A2FD81A0D80}"/>
    <hyperlink ref="A103" r:id="rId77" display="https://support.industry.siemens.com/cs/document/109762486/sinamics-technology-extension-rotdtec-(rotation-detection)?lc=en-us" xr:uid="{7DA1D273-EBDD-48E1-BE27-9926A9FF3A18}"/>
    <hyperlink ref="A106" r:id="rId78" display="https://support.industry.siemens.com/cs/document/108464614/sinumerik-technical-documentation?lc=en-us" xr:uid="{BB5D86B0-0708-4B57-B3ED-D8ED4941B874}"/>
    <hyperlink ref="A107" r:id="rId79" display="https://support.industry.siemens.com/cs/document/109768483/sinumerik-one?lc=en-us" xr:uid="{4709398B-50C9-48E2-8659-6AEB9C0445C3}"/>
    <hyperlink ref="A109" r:id="rId80" xr:uid="{EBD6A446-5EF8-4084-8E72-B590C119FF47}"/>
  </hyperlinks>
  <pageMargins left="0.7" right="0.7" top="0.75" bottom="0.75" header="0.3" footer="0.3"/>
  <pageSetup orientation="portrait" horizontalDpi="4294967293" r:id="rId81"/>
  <headerFooter>
    <oddFooter xml:space="preserve">&amp;LUnrestricted </oddFooter>
    <evenFooter xml:space="preserve">&amp;LUnrestricted </evenFooter>
    <firstFooter xml:space="preserve">&amp;LUnrestricted </firstFooter>
  </headerFooter>
  <drawing r:id="rId8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BF26-289A-46C1-BE49-90BCE5B77418}">
  <sheetPr>
    <tabColor theme="8" tint="0.39997558519241921"/>
  </sheetPr>
  <dimension ref="A1:J281"/>
  <sheetViews>
    <sheetView showGridLines="0" showRowColHeaders="0" zoomScale="80" zoomScaleNormal="80" workbookViewId="0">
      <selection activeCell="A5" sqref="A5"/>
    </sheetView>
  </sheetViews>
  <sheetFormatPr defaultColWidth="11.42578125" defaultRowHeight="15"/>
  <cols>
    <col min="1" max="1" width="45.7109375" customWidth="1"/>
    <col min="2" max="2" width="37" bestFit="1" customWidth="1"/>
    <col min="3" max="3" width="63.140625" customWidth="1"/>
    <col min="4" max="4" width="18.28515625" style="1" customWidth="1"/>
    <col min="5" max="5" width="24.42578125" style="1" bestFit="1" customWidth="1"/>
    <col min="6" max="7" width="6.7109375" style="1" customWidth="1"/>
  </cols>
  <sheetData>
    <row r="1" spans="1:10">
      <c r="A1" s="16"/>
      <c r="B1" s="16"/>
      <c r="C1" s="16"/>
      <c r="D1" s="22"/>
      <c r="E1" s="22"/>
      <c r="F1" s="22"/>
    </row>
    <row r="2" spans="1:10">
      <c r="A2" s="16"/>
      <c r="B2" s="16"/>
      <c r="C2" s="16"/>
      <c r="D2" s="22"/>
      <c r="E2" s="22"/>
      <c r="F2" s="22"/>
    </row>
    <row r="3" spans="1:10">
      <c r="A3" s="16"/>
      <c r="B3" s="16"/>
      <c r="C3" s="16"/>
      <c r="D3" s="22"/>
      <c r="E3" s="22"/>
      <c r="F3" s="22"/>
    </row>
    <row r="4" spans="1:10" ht="15.75" thickBot="1">
      <c r="A4" s="23"/>
      <c r="B4" s="23"/>
      <c r="C4" s="23"/>
      <c r="D4" s="23"/>
      <c r="E4" s="23"/>
      <c r="F4" s="23"/>
      <c r="G4" s="23"/>
      <c r="H4" s="23"/>
      <c r="I4" s="23"/>
    </row>
    <row r="5" spans="1:10">
      <c r="A5" s="24" t="s">
        <v>128</v>
      </c>
      <c r="B5" s="25" t="s">
        <v>129</v>
      </c>
      <c r="C5" s="25" t="s">
        <v>130</v>
      </c>
      <c r="D5" s="26" t="s">
        <v>131</v>
      </c>
      <c r="E5" s="25" t="s">
        <v>132</v>
      </c>
      <c r="F5" s="92" t="s">
        <v>133</v>
      </c>
      <c r="G5" s="93"/>
      <c r="H5" s="23"/>
      <c r="I5" s="23"/>
    </row>
    <row r="6" spans="1:10" ht="15.75" thickBot="1">
      <c r="A6" s="27"/>
      <c r="B6" s="28"/>
      <c r="C6" s="28"/>
      <c r="D6" s="29"/>
      <c r="E6" s="28"/>
      <c r="F6" s="30" t="s">
        <v>422</v>
      </c>
      <c r="G6" s="31" t="s">
        <v>423</v>
      </c>
      <c r="H6" s="23"/>
      <c r="I6" s="23"/>
    </row>
    <row r="7" spans="1:10" ht="15.75" thickTop="1">
      <c r="A7" s="56" t="s">
        <v>187</v>
      </c>
      <c r="B7" s="33"/>
      <c r="C7" s="34"/>
      <c r="D7" s="33"/>
      <c r="E7" s="33"/>
      <c r="F7" s="35"/>
      <c r="G7" s="36"/>
      <c r="H7" s="23"/>
      <c r="I7" s="23"/>
      <c r="J7" s="2"/>
    </row>
    <row r="8" spans="1:10">
      <c r="A8" s="37" t="s">
        <v>134</v>
      </c>
      <c r="B8" s="38"/>
      <c r="C8" s="38"/>
      <c r="D8" s="38"/>
      <c r="E8" s="38"/>
      <c r="F8" s="39"/>
      <c r="G8" s="40"/>
      <c r="H8" s="23"/>
      <c r="I8" s="23"/>
      <c r="J8" s="2"/>
    </row>
    <row r="9" spans="1:10" s="3" customFormat="1">
      <c r="A9" s="41"/>
      <c r="B9" s="23" t="s">
        <v>135</v>
      </c>
      <c r="C9" s="42" t="str">
        <f>HYPERLINK("https://support.industry.siemens.com/cs/ww/en/view/109760808","SINUMERIK 840D sl/828D Universal")</f>
        <v>SINUMERIK 840D sl/828D Universal</v>
      </c>
      <c r="D9" s="23" t="str">
        <f t="shared" ref="D9:D15" si="0">"08/2018"</f>
        <v>08/2018</v>
      </c>
      <c r="E9" s="23" t="s">
        <v>188</v>
      </c>
      <c r="F9" s="23" t="s">
        <v>136</v>
      </c>
      <c r="G9" s="43" t="s">
        <v>136</v>
      </c>
      <c r="H9" s="44"/>
      <c r="I9" s="44"/>
    </row>
    <row r="10" spans="1:10" s="3" customFormat="1">
      <c r="A10" s="41"/>
      <c r="B10" s="23" t="s">
        <v>135</v>
      </c>
      <c r="C10" s="42" t="str">
        <f>HYPERLINK("https://support.industry.siemens.com/cs/ww/en/view/109760805","SINUMERIK 840D sl/828D Turning")</f>
        <v>SINUMERIK 840D sl/828D Turning</v>
      </c>
      <c r="D10" s="23" t="str">
        <f t="shared" si="0"/>
        <v>08/2018</v>
      </c>
      <c r="E10" s="23" t="s">
        <v>189</v>
      </c>
      <c r="F10" s="23" t="s">
        <v>136</v>
      </c>
      <c r="G10" s="43" t="s">
        <v>136</v>
      </c>
      <c r="H10" s="44"/>
      <c r="I10" s="44"/>
    </row>
    <row r="11" spans="1:10" s="3" customFormat="1">
      <c r="A11" s="41"/>
      <c r="B11" s="23" t="s">
        <v>135</v>
      </c>
      <c r="C11" s="42" t="str">
        <f>HYPERLINK("https://support.industry.siemens.com/cs/ww/en/view/109760804","SINUMERIK 840D sl/828D Milling")</f>
        <v>SINUMERIK 840D sl/828D Milling</v>
      </c>
      <c r="D11" s="23" t="str">
        <f t="shared" si="0"/>
        <v>08/2018</v>
      </c>
      <c r="E11" s="23" t="s">
        <v>190</v>
      </c>
      <c r="F11" s="23" t="s">
        <v>136</v>
      </c>
      <c r="G11" s="43" t="s">
        <v>136</v>
      </c>
      <c r="H11" s="44"/>
      <c r="I11" s="44"/>
    </row>
    <row r="12" spans="1:10" s="3" customFormat="1">
      <c r="A12" s="41"/>
      <c r="B12" s="23" t="s">
        <v>135</v>
      </c>
      <c r="C12" s="42" t="str">
        <f>HYPERLINK("https://support.industry.siemens.com/cs/ww/en/view/109760801","SINUMERIK 840D sl/828D grinding")</f>
        <v>SINUMERIK 840D sl/828D grinding</v>
      </c>
      <c r="D12" s="23" t="str">
        <f t="shared" si="0"/>
        <v>08/2018</v>
      </c>
      <c r="E12" s="23" t="s">
        <v>191</v>
      </c>
      <c r="F12" s="23" t="s">
        <v>136</v>
      </c>
      <c r="G12" s="43" t="s">
        <v>136</v>
      </c>
      <c r="H12" s="44"/>
      <c r="I12" s="44"/>
    </row>
    <row r="13" spans="1:10" s="3" customFormat="1">
      <c r="A13" s="41"/>
      <c r="B13" s="23" t="s">
        <v>135</v>
      </c>
      <c r="C13" s="42" t="str">
        <f>HYPERLINK("https://support.industry.siemens.com/cs/ww/en/view/28755255","SINUMERIK 840Di sl/840D sl/840D HMI-Advanced")</f>
        <v>SINUMERIK 840Di sl/840D sl/840D HMI-Advanced</v>
      </c>
      <c r="D13" s="23" t="str">
        <f>"01/2008"</f>
        <v>01/2008</v>
      </c>
      <c r="E13" s="23" t="s">
        <v>138</v>
      </c>
      <c r="F13" s="23" t="s">
        <v>136</v>
      </c>
      <c r="G13" s="43" t="s">
        <v>136</v>
      </c>
      <c r="H13" s="44"/>
      <c r="I13" s="44"/>
    </row>
    <row r="14" spans="1:10" s="3" customFormat="1">
      <c r="A14" s="41"/>
      <c r="B14" s="23" t="s">
        <v>137</v>
      </c>
      <c r="C14" s="42" t="str">
        <f>HYPERLINK("https://support.industry.siemens.com/cs/ww/en/view/109760826","SINUMERIK 840D sl Smart Operation")</f>
        <v>SINUMERIK 840D sl Smart Operation</v>
      </c>
      <c r="D14" s="23" t="str">
        <f t="shared" si="0"/>
        <v>08/2018</v>
      </c>
      <c r="E14" s="23" t="s">
        <v>192</v>
      </c>
      <c r="F14" s="23" t="s">
        <v>136</v>
      </c>
      <c r="G14" s="43" t="s">
        <v>136</v>
      </c>
      <c r="H14" s="44"/>
      <c r="I14" s="44"/>
    </row>
    <row r="15" spans="1:10" s="3" customFormat="1">
      <c r="A15" s="41"/>
      <c r="B15" s="23" t="s">
        <v>137</v>
      </c>
      <c r="C15" s="42" t="str">
        <f>HYPERLINK("https://support.industry.siemens.com/cs/ww/en/view/109762366","SINUMERIK 828D Smart Operation")</f>
        <v>SINUMERIK 828D Smart Operation</v>
      </c>
      <c r="D15" s="23" t="str">
        <f t="shared" si="0"/>
        <v>08/2018</v>
      </c>
      <c r="E15" s="23" t="s">
        <v>193</v>
      </c>
      <c r="F15" s="23" t="s">
        <v>136</v>
      </c>
      <c r="G15" s="43" t="s">
        <v>136</v>
      </c>
      <c r="H15" s="44"/>
      <c r="I15" s="44"/>
    </row>
    <row r="16" spans="1:10" s="3" customFormat="1">
      <c r="A16" s="41"/>
      <c r="B16" s="23" t="s">
        <v>139</v>
      </c>
      <c r="C16" s="42" t="str">
        <f>HYPERLINK("https://support.industry.siemens.com/cs/ww/en/view/28739039","SINUMERIK 840D sl ShopMill")</f>
        <v>SINUMERIK 840D sl ShopMill</v>
      </c>
      <c r="D16" s="23" t="str">
        <f>"01/2008"</f>
        <v>01/2008</v>
      </c>
      <c r="E16" s="23" t="s">
        <v>140</v>
      </c>
      <c r="F16" s="23" t="s">
        <v>136</v>
      </c>
      <c r="G16" s="43" t="s">
        <v>136</v>
      </c>
      <c r="H16" s="44"/>
      <c r="I16" s="44"/>
    </row>
    <row r="17" spans="1:10" s="3" customFormat="1">
      <c r="A17" s="41"/>
      <c r="B17" s="23" t="s">
        <v>139</v>
      </c>
      <c r="C17" s="42" t="str">
        <f>HYPERLINK("https://support.industry.siemens.com/cs/ww/en/view/28739059","SINUMERIK 840D sl ShopTurn")</f>
        <v>SINUMERIK 840D sl ShopTurn</v>
      </c>
      <c r="D17" s="23" t="str">
        <f>"01/2008"</f>
        <v>01/2008</v>
      </c>
      <c r="E17" s="23" t="s">
        <v>141</v>
      </c>
      <c r="F17" s="23" t="s">
        <v>136</v>
      </c>
      <c r="G17" s="43" t="s">
        <v>136</v>
      </c>
      <c r="H17" s="44"/>
      <c r="I17" s="44"/>
    </row>
    <row r="18" spans="1:10" s="3" customFormat="1">
      <c r="A18" s="41"/>
      <c r="B18" s="23" t="s">
        <v>142</v>
      </c>
      <c r="C18" s="42" t="str">
        <f>HYPERLINK("https://support.industry.siemens.com/cs/ww/en/view/109760811","SINUMERIK 840D sl SINAMICS S120 Alarms")</f>
        <v>SINUMERIK 840D sl SINAMICS S120 Alarms</v>
      </c>
      <c r="D18" s="23" t="str">
        <f>"08/2018"</f>
        <v>08/2018</v>
      </c>
      <c r="E18" s="23" t="s">
        <v>194</v>
      </c>
      <c r="F18" s="23" t="s">
        <v>136</v>
      </c>
      <c r="G18" s="43" t="s">
        <v>136</v>
      </c>
      <c r="H18" s="44"/>
      <c r="I18" s="44"/>
    </row>
    <row r="19" spans="1:10" s="3" customFormat="1">
      <c r="A19" s="41"/>
      <c r="B19" s="23" t="s">
        <v>142</v>
      </c>
      <c r="C19" s="42" t="str">
        <f>HYPERLINK("https://support.industry.siemens.com/cs/ww/en/view/109761928","SINUMERIK 828D SINAMICS S120 Alarms")</f>
        <v>SINUMERIK 828D SINAMICS S120 Alarms</v>
      </c>
      <c r="D19" s="23" t="str">
        <f>"08/2018"</f>
        <v>08/2018</v>
      </c>
      <c r="E19" s="23" t="s">
        <v>195</v>
      </c>
      <c r="F19" s="23" t="s">
        <v>136</v>
      </c>
      <c r="G19" s="43" t="s">
        <v>136</v>
      </c>
      <c r="H19" s="44"/>
      <c r="I19" s="44"/>
    </row>
    <row r="20" spans="1:10">
      <c r="A20" s="37" t="s">
        <v>144</v>
      </c>
      <c r="B20" s="38"/>
      <c r="C20" s="38"/>
      <c r="D20" s="38"/>
      <c r="E20" s="38"/>
      <c r="F20" s="39"/>
      <c r="G20" s="40"/>
      <c r="H20" s="45"/>
      <c r="I20" s="23"/>
      <c r="J20" s="2"/>
    </row>
    <row r="21" spans="1:10" s="3" customFormat="1">
      <c r="A21" s="41"/>
      <c r="B21" s="23" t="s">
        <v>145</v>
      </c>
      <c r="C21" s="42" t="str">
        <f>HYPERLINK("https://support.industry.siemens.com/cs/ww/en/view/109760800","SINUMERIK 840D sl / 828D Fundamentals")</f>
        <v>SINUMERIK 840D sl / 828D Fundamentals</v>
      </c>
      <c r="D21" s="23" t="str">
        <f>"08/2018"</f>
        <v>08/2018</v>
      </c>
      <c r="E21" s="23" t="s">
        <v>196</v>
      </c>
      <c r="F21" s="23" t="s">
        <v>136</v>
      </c>
      <c r="G21" s="43" t="s">
        <v>136</v>
      </c>
      <c r="H21" s="44"/>
      <c r="I21" s="44"/>
    </row>
    <row r="22" spans="1:10" s="3" customFormat="1">
      <c r="A22" s="41"/>
      <c r="B22" s="23" t="s">
        <v>145</v>
      </c>
      <c r="C22" s="42" t="str">
        <f>HYPERLINK("https://support.industry.siemens.com/cs/ww/en/view/109760802","SINUMERIK 840D sl / 828D Job Planning")</f>
        <v>SINUMERIK 840D sl / 828D Job Planning</v>
      </c>
      <c r="D22" s="23" t="str">
        <f>"08/2018"</f>
        <v>08/2018</v>
      </c>
      <c r="E22" s="23" t="s">
        <v>197</v>
      </c>
      <c r="F22" s="23" t="s">
        <v>136</v>
      </c>
      <c r="G22" s="43" t="s">
        <v>136</v>
      </c>
      <c r="H22" s="44"/>
      <c r="I22" s="44"/>
    </row>
    <row r="23" spans="1:10" s="3" customFormat="1">
      <c r="A23" s="41"/>
      <c r="B23" s="23" t="s">
        <v>145</v>
      </c>
      <c r="C23" s="42" t="str">
        <f>HYPERLINK("https://support.industry.siemens.com/cs/ww/en/view/109760803","SINUMERIK 840D sl / 828D Measuring Cycles")</f>
        <v>SINUMERIK 840D sl / 828D Measuring Cycles</v>
      </c>
      <c r="D23" s="23" t="str">
        <f>"08/2018"</f>
        <v>08/2018</v>
      </c>
      <c r="E23" s="23" t="s">
        <v>198</v>
      </c>
      <c r="F23" s="23" t="s">
        <v>136</v>
      </c>
      <c r="G23" s="43" t="s">
        <v>136</v>
      </c>
      <c r="H23" s="44"/>
      <c r="I23" s="44"/>
    </row>
    <row r="24" spans="1:10" s="3" customFormat="1">
      <c r="A24" s="41"/>
      <c r="B24" s="23" t="s">
        <v>145</v>
      </c>
      <c r="C24" s="42" t="str">
        <f>HYPERLINK("https://support.industry.siemens.com/cs/ww/en/view/66222132","SINUMERIK 840D sl / 828D ISO Turning")</f>
        <v>SINUMERIK 840D sl / 828D ISO Turning</v>
      </c>
      <c r="D24" s="23" t="str">
        <f>"02/2012"</f>
        <v>02/2012</v>
      </c>
      <c r="E24" s="23" t="s">
        <v>146</v>
      </c>
      <c r="F24" s="23" t="s">
        <v>136</v>
      </c>
      <c r="G24" s="43" t="s">
        <v>136</v>
      </c>
      <c r="H24" s="44"/>
      <c r="I24" s="44"/>
    </row>
    <row r="25" spans="1:10" s="3" customFormat="1">
      <c r="A25" s="41"/>
      <c r="B25" s="23" t="s">
        <v>145</v>
      </c>
      <c r="C25" s="42" t="str">
        <f>HYPERLINK("https://support.industry.siemens.com/cs/ww/en/view/65711169","SINUMERIK 840D sl / 828D ISO Milling")</f>
        <v>SINUMERIK 840D sl / 828D ISO Milling</v>
      </c>
      <c r="D25" s="23" t="str">
        <f>"02/2012"</f>
        <v>02/2012</v>
      </c>
      <c r="E25" s="23" t="s">
        <v>147</v>
      </c>
      <c r="F25" s="23" t="s">
        <v>136</v>
      </c>
      <c r="G25" s="43" t="s">
        <v>136</v>
      </c>
      <c r="H25" s="44"/>
      <c r="I25" s="44"/>
    </row>
    <row r="26" spans="1:10" s="3" customFormat="1">
      <c r="A26" s="41"/>
      <c r="B26" s="23" t="s">
        <v>145</v>
      </c>
      <c r="C26" s="42" t="str">
        <f>HYPERLINK("https://support.industry.siemens.com/cs/ww/en/view/109763247","SINUMERIK 840D sl SINUMERIK Run MyRobot /Direct Control ")</f>
        <v xml:space="preserve">SINUMERIK 840D sl SINUMERIK Run MyRobot /Direct Control </v>
      </c>
      <c r="D26" s="23" t="str">
        <f>"12/2018"</f>
        <v>12/2018</v>
      </c>
      <c r="E26" s="23"/>
      <c r="F26" s="23" t="s">
        <v>136</v>
      </c>
      <c r="G26" s="43" t="s">
        <v>136</v>
      </c>
      <c r="H26" s="44"/>
      <c r="I26" s="44"/>
    </row>
    <row r="27" spans="1:10" ht="17.100000000000001" customHeight="1">
      <c r="A27" s="56" t="s">
        <v>148</v>
      </c>
      <c r="B27" s="33"/>
      <c r="C27" s="34"/>
      <c r="D27" s="33"/>
      <c r="E27" s="33"/>
      <c r="F27" s="35"/>
      <c r="G27" s="36"/>
      <c r="H27" s="46"/>
      <c r="I27" s="23"/>
      <c r="J27" s="2"/>
    </row>
    <row r="28" spans="1:10">
      <c r="A28" s="37" t="s">
        <v>149</v>
      </c>
      <c r="B28" s="38"/>
      <c r="C28" s="38"/>
      <c r="D28" s="38"/>
      <c r="E28" s="38"/>
      <c r="F28" s="39"/>
      <c r="G28" s="40"/>
      <c r="H28" s="45"/>
      <c r="I28" s="23"/>
      <c r="J28" s="2"/>
    </row>
    <row r="29" spans="1:10" s="3" customFormat="1">
      <c r="A29" s="41"/>
      <c r="B29" s="23" t="s">
        <v>150</v>
      </c>
      <c r="C29" s="42" t="str">
        <f>HYPERLINK("https://support.industry.siemens.com/cs/ww/en/view/109749929","SINUMERIK 840D sl operator components - TCU 30.3")</f>
        <v>SINUMERIK 840D sl operator components - TCU 30.3</v>
      </c>
      <c r="D29" s="23" t="str">
        <f>"09/2017"</f>
        <v>09/2017</v>
      </c>
      <c r="E29" s="23" t="s">
        <v>199</v>
      </c>
      <c r="F29" s="23" t="s">
        <v>136</v>
      </c>
      <c r="G29" s="43" t="s">
        <v>136</v>
      </c>
      <c r="H29" s="44"/>
      <c r="I29" s="44"/>
    </row>
    <row r="30" spans="1:10" s="3" customFormat="1" ht="30">
      <c r="A30" s="41"/>
      <c r="B30" s="23" t="s">
        <v>150</v>
      </c>
      <c r="C30" s="42" t="str">
        <f>HYPERLINK("https://support.industry.siemens.com/cs/ww/en/view/109759204","SINUMERIK 840D sl operator components - Operator panel front: OP 010")</f>
        <v>SINUMERIK 840D sl operator components - Operator panel front: OP 010</v>
      </c>
      <c r="D30" s="23" t="str">
        <f>"07/2018"</f>
        <v>07/2018</v>
      </c>
      <c r="E30" s="23"/>
      <c r="F30" s="23" t="s">
        <v>136</v>
      </c>
      <c r="G30" s="43" t="s">
        <v>136</v>
      </c>
      <c r="H30" s="44"/>
      <c r="I30" s="44"/>
    </row>
    <row r="31" spans="1:10" s="3" customFormat="1">
      <c r="A31" s="41"/>
      <c r="B31" s="23" t="s">
        <v>150</v>
      </c>
      <c r="C31" s="42" t="str">
        <f>HYPERLINK("https://support.industry.siemens.com/cs/ww/en/view/109748600","SINUMERIK 840D sl operator components - OP 015A")</f>
        <v>SINUMERIK 840D sl operator components - OP 015A</v>
      </c>
      <c r="D31" s="23" t="str">
        <f>"06/2017"</f>
        <v>06/2017</v>
      </c>
      <c r="E31" s="23" t="s">
        <v>200</v>
      </c>
      <c r="F31" s="23" t="s">
        <v>136</v>
      </c>
      <c r="G31" s="43" t="s">
        <v>136</v>
      </c>
      <c r="H31" s="44"/>
      <c r="I31" s="44"/>
    </row>
    <row r="32" spans="1:10" s="3" customFormat="1" ht="30">
      <c r="A32" s="41"/>
      <c r="B32" s="23" t="s">
        <v>150</v>
      </c>
      <c r="C32" s="42" t="str">
        <f>HYPERLINK("https://support.industry.siemens.com/cs/ww/en/view/109741627","SINUMERIK 840D sl operator components - Operator panel front: OP 012")</f>
        <v>SINUMERIK 840D sl operator components - Operator panel front: OP 012</v>
      </c>
      <c r="D32" s="23" t="str">
        <f>"09/2016"</f>
        <v>09/2016</v>
      </c>
      <c r="E32" s="23"/>
      <c r="F32" s="23" t="s">
        <v>136</v>
      </c>
      <c r="G32" s="43" t="s">
        <v>136</v>
      </c>
      <c r="H32" s="44"/>
      <c r="I32" s="44"/>
    </row>
    <row r="33" spans="1:10" s="3" customFormat="1" ht="30">
      <c r="A33" s="41"/>
      <c r="B33" s="23" t="s">
        <v>150</v>
      </c>
      <c r="C33" s="42" t="str">
        <f>HYPERLINK("https://support.industry.siemens.com/cs/ww/en/view/109752353","SINUMERIK 840D sl operator components - TOP 1500, TOP 1900, TOP 2200")</f>
        <v>SINUMERIK 840D sl operator components - TOP 1500, TOP 1900, TOP 2200</v>
      </c>
      <c r="D33" s="23" t="str">
        <f>"12/2017"</f>
        <v>12/2017</v>
      </c>
      <c r="E33" s="23"/>
      <c r="F33" s="23" t="s">
        <v>136</v>
      </c>
      <c r="G33" s="43" t="s">
        <v>136</v>
      </c>
      <c r="H33" s="44"/>
      <c r="I33" s="44"/>
    </row>
    <row r="34" spans="1:10" s="3" customFormat="1">
      <c r="A34" s="41"/>
      <c r="B34" s="23" t="s">
        <v>150</v>
      </c>
      <c r="C34" s="42" t="str">
        <f>HYPERLINK("https://support.industry.siemens.com/cs/ww/en/view/109759203","SINUMERIK 840D sl operator components - MCP 398C")</f>
        <v>SINUMERIK 840D sl operator components - MCP 398C</v>
      </c>
      <c r="D34" s="23" t="str">
        <f>"07/2018"</f>
        <v>07/2018</v>
      </c>
      <c r="E34" s="23" t="s">
        <v>201</v>
      </c>
      <c r="F34" s="23" t="s">
        <v>136</v>
      </c>
      <c r="G34" s="43" t="s">
        <v>136</v>
      </c>
      <c r="H34" s="44"/>
      <c r="I34" s="44"/>
    </row>
    <row r="35" spans="1:10" s="3" customFormat="1" ht="30">
      <c r="A35" s="41"/>
      <c r="B35" s="23" t="s">
        <v>150</v>
      </c>
      <c r="C35" s="42" t="str">
        <f>HYPERLINK("https://support.industry.siemens.com/cs/ww/en/view/109736205","SINUMERIK 840D sl operator components - general information and networking")</f>
        <v>SINUMERIK 840D sl operator components - general information and networking</v>
      </c>
      <c r="D35" s="23" t="str">
        <f>"03/2016"</f>
        <v>03/2016</v>
      </c>
      <c r="E35" s="23" t="s">
        <v>151</v>
      </c>
      <c r="F35" s="23" t="s">
        <v>136</v>
      </c>
      <c r="G35" s="43" t="s">
        <v>136</v>
      </c>
      <c r="H35" s="44"/>
      <c r="I35" s="44"/>
    </row>
    <row r="36" spans="1:10" s="3" customFormat="1" ht="30">
      <c r="A36" s="41"/>
      <c r="B36" s="23" t="s">
        <v>150</v>
      </c>
      <c r="C36" s="42" t="str">
        <f>HYPERLINK("https://support.industry.siemens.com/cs/ww/en/view/109478729","SINUMERIK 840D sl operator components - handheld devices: Handheld Terminal HT 8")</f>
        <v>SINUMERIK 840D sl operator components - handheld devices: Handheld Terminal HT 8</v>
      </c>
      <c r="D36" s="23" t="str">
        <f>"02/2016"</f>
        <v>02/2016</v>
      </c>
      <c r="E36" s="23"/>
      <c r="F36" s="23" t="s">
        <v>136</v>
      </c>
      <c r="G36" s="43" t="s">
        <v>136</v>
      </c>
      <c r="H36" s="44"/>
      <c r="I36" s="44"/>
    </row>
    <row r="37" spans="1:10" s="3" customFormat="1">
      <c r="A37" s="41"/>
      <c r="B37" s="23" t="s">
        <v>150</v>
      </c>
      <c r="C37" s="42" t="str">
        <f>HYPERLINK("https://support.industry.siemens.com/cs/ww/en/view/99922219","SINUMERIK 840D sl NCU 7x0.3 PN, NCU 7x0.3B PN")</f>
        <v>SINUMERIK 840D sl NCU 7x0.3 PN, NCU 7x0.3B PN</v>
      </c>
      <c r="D37" s="23" t="str">
        <f>"06/2014"</f>
        <v>06/2014</v>
      </c>
      <c r="E37" s="23" t="s">
        <v>152</v>
      </c>
      <c r="F37" s="23" t="s">
        <v>136</v>
      </c>
      <c r="G37" s="43" t="s">
        <v>136</v>
      </c>
      <c r="H37" s="44"/>
      <c r="I37" s="44"/>
    </row>
    <row r="38" spans="1:10" s="3" customFormat="1">
      <c r="A38" s="41"/>
      <c r="B38" s="23" t="s">
        <v>150</v>
      </c>
      <c r="C38" s="42" t="str">
        <f>HYPERLINK("https://support.industry.siemens.com/cs/ww/en/view/53898693","SINUMERIK 840D sl NCU 7x0.2")</f>
        <v>SINUMERIK 840D sl NCU 7x0.2</v>
      </c>
      <c r="D38" s="23" t="str">
        <f>"02/2011"</f>
        <v>02/2011</v>
      </c>
      <c r="E38" s="23" t="s">
        <v>153</v>
      </c>
      <c r="F38" s="23" t="s">
        <v>136</v>
      </c>
      <c r="G38" s="43" t="s">
        <v>136</v>
      </c>
      <c r="H38" s="44"/>
      <c r="I38" s="44"/>
    </row>
    <row r="39" spans="1:10" s="3" customFormat="1" ht="30">
      <c r="A39" s="41"/>
      <c r="B39" s="23" t="s">
        <v>150</v>
      </c>
      <c r="C39" s="42" t="str">
        <f>HYPERLINK("https://support.industry.siemens.com/cs/ww/en/view/47701211","SINUMERIK 840D sl / 840Di sl / 802D sl ADI4 - Analog drive interface for 4 axes")</f>
        <v>SINUMERIK 840D sl / 840Di sl / 802D sl ADI4 - Analog drive interface for 4 axes</v>
      </c>
      <c r="D39" s="23" t="str">
        <f>"03/2010"</f>
        <v>03/2010</v>
      </c>
      <c r="E39" s="23" t="s">
        <v>154</v>
      </c>
      <c r="F39" s="23" t="s">
        <v>136</v>
      </c>
      <c r="G39" s="43" t="s">
        <v>136</v>
      </c>
      <c r="H39" s="44"/>
      <c r="I39" s="44"/>
    </row>
    <row r="40" spans="1:10" s="3" customFormat="1">
      <c r="A40" s="41"/>
      <c r="B40" s="23" t="s">
        <v>150</v>
      </c>
      <c r="C40" s="42" t="str">
        <f>HYPERLINK("https://support.industry.siemens.com/cs/ww/en/view/109755240","SINUMERIK 840D sl, SIMATIC HMI, SIMATIC Box PC ERGOline Stage 3")</f>
        <v>SINUMERIK 840D sl, SIMATIC HMI, SIMATIC Box PC ERGOline Stage 3</v>
      </c>
      <c r="D40" s="23" t="str">
        <f>"02/2018"</f>
        <v>02/2018</v>
      </c>
      <c r="E40" s="23" t="s">
        <v>159</v>
      </c>
      <c r="F40" s="23" t="s">
        <v>136</v>
      </c>
      <c r="G40" s="43" t="s">
        <v>136</v>
      </c>
      <c r="H40" s="44"/>
      <c r="I40" s="44"/>
    </row>
    <row r="41" spans="1:10" s="3" customFormat="1">
      <c r="A41" s="41"/>
      <c r="B41" s="23" t="s">
        <v>155</v>
      </c>
      <c r="C41" s="42" t="str">
        <f>HYPERLINK("https://support.industry.siemens.com/cs/ww/en/view/109759001","SINUMERIK Integrate Create MyHMI /WinCC V15 (Update 1)")</f>
        <v>SINUMERIK Integrate Create MyHMI /WinCC V15 (Update 1)</v>
      </c>
      <c r="D41" s="23" t="str">
        <f>"04/2018"</f>
        <v>04/2018</v>
      </c>
      <c r="E41" s="23" t="s">
        <v>202</v>
      </c>
      <c r="F41" s="23" t="s">
        <v>136</v>
      </c>
      <c r="G41" s="43" t="s">
        <v>136</v>
      </c>
      <c r="H41" s="44"/>
      <c r="I41" s="44"/>
    </row>
    <row r="42" spans="1:10" s="3" customFormat="1">
      <c r="A42" s="41"/>
      <c r="B42" s="23" t="s">
        <v>203</v>
      </c>
      <c r="C42" s="42" t="str">
        <f>HYPERLINK("https://support.industry.siemens.com/cs/ww/en/view/109756672","SINUMERIK STEP 7 Toolbox V15")</f>
        <v>SINUMERIK STEP 7 Toolbox V15</v>
      </c>
      <c r="D42" s="23" t="str">
        <f>"12/2017"</f>
        <v>12/2017</v>
      </c>
      <c r="E42" s="23" t="s">
        <v>204</v>
      </c>
      <c r="F42" s="23" t="s">
        <v>136</v>
      </c>
      <c r="G42" s="43" t="s">
        <v>136</v>
      </c>
      <c r="H42" s="44"/>
      <c r="I42" s="44"/>
    </row>
    <row r="43" spans="1:10" s="3" customFormat="1">
      <c r="A43" s="41"/>
      <c r="B43" s="23" t="s">
        <v>155</v>
      </c>
      <c r="C43" s="42" t="str">
        <f>HYPERLINK("https://support.industry.siemens.com/cs/ww/en/view/109756681","SINUMERIK STEP 7 Toolbox V15")</f>
        <v>SINUMERIK STEP 7 Toolbox V15</v>
      </c>
      <c r="D43" s="23" t="str">
        <f>"11/2017"</f>
        <v>11/2017</v>
      </c>
      <c r="E43" s="23" t="s">
        <v>205</v>
      </c>
      <c r="F43" s="23" t="s">
        <v>136</v>
      </c>
      <c r="G43" s="43" t="s">
        <v>136</v>
      </c>
      <c r="H43" s="44"/>
      <c r="I43" s="44"/>
    </row>
    <row r="44" spans="1:10" s="3" customFormat="1">
      <c r="A44" s="41"/>
      <c r="B44" s="23" t="s">
        <v>155</v>
      </c>
      <c r="C44" s="42" t="str">
        <f>HYPERLINK("https://support.industry.siemens.com/cs/ww/en/view/60612658","EMC design guidelines configuration manual")</f>
        <v>EMC design guidelines configuration manual</v>
      </c>
      <c r="D44" s="23" t="str">
        <f>"01/2012"</f>
        <v>01/2012</v>
      </c>
      <c r="E44" s="23" t="s">
        <v>156</v>
      </c>
      <c r="F44" s="23" t="s">
        <v>136</v>
      </c>
      <c r="G44" s="43" t="s">
        <v>136</v>
      </c>
      <c r="H44" s="44"/>
      <c r="I44" s="44"/>
    </row>
    <row r="45" spans="1:10" s="3" customFormat="1">
      <c r="A45" s="41"/>
      <c r="B45" s="23" t="s">
        <v>137</v>
      </c>
      <c r="C45" s="42" t="str">
        <f>HYPERLINK("https://support.industry.siemens.com/cs/ww/en/view/109481517","SINUMERIK 840D sl / 828D Ctrl-Energy")</f>
        <v>SINUMERIK 840D sl / 828D Ctrl-Energy</v>
      </c>
      <c r="D45" s="23" t="str">
        <f>"10/2015"</f>
        <v>10/2015</v>
      </c>
      <c r="E45" s="23" t="s">
        <v>157</v>
      </c>
      <c r="F45" s="23" t="s">
        <v>136</v>
      </c>
      <c r="G45" s="43" t="s">
        <v>136</v>
      </c>
      <c r="H45" s="44"/>
      <c r="I45" s="44"/>
    </row>
    <row r="46" spans="1:10" s="3" customFormat="1">
      <c r="A46" s="41"/>
      <c r="B46" s="23" t="s">
        <v>137</v>
      </c>
      <c r="C46" s="42" t="str">
        <f>HYPERLINK("https://support.industry.siemens.com/cs/ww/en/view/83178621","SINUMERIK 840D sl, SINAMICS S120 guide")</f>
        <v>SINUMERIK 840D sl, SINAMICS S120 guide</v>
      </c>
      <c r="D46" s="23" t="str">
        <f>"01/2013"</f>
        <v>01/2013</v>
      </c>
      <c r="E46" s="23" t="s">
        <v>158</v>
      </c>
      <c r="F46" s="23" t="s">
        <v>136</v>
      </c>
      <c r="G46" s="43" t="s">
        <v>136</v>
      </c>
      <c r="H46" s="44"/>
      <c r="I46" s="44"/>
    </row>
    <row r="47" spans="1:10" s="3" customFormat="1" ht="30">
      <c r="A47" s="41"/>
      <c r="B47" s="23" t="s">
        <v>135</v>
      </c>
      <c r="C47" s="42" t="str">
        <f>HYPERLINK("https://support.industry.siemens.com/cs/ww/en/view/103883144","SINUMERIK 840D sl/840Di sl/840D/840Di/810D, SinuCom Installation/Service Tools")</f>
        <v>SINUMERIK 840D sl/840Di sl/840D/840Di/810D, SinuCom Installation/Service Tools</v>
      </c>
      <c r="D47" s="23" t="str">
        <f>"07/2008"</f>
        <v>07/2008</v>
      </c>
      <c r="E47" s="23"/>
      <c r="F47" s="23" t="s">
        <v>136</v>
      </c>
      <c r="G47" s="43" t="s">
        <v>136</v>
      </c>
      <c r="H47" s="44"/>
      <c r="I47" s="44"/>
    </row>
    <row r="48" spans="1:10">
      <c r="A48" s="37" t="s">
        <v>126</v>
      </c>
      <c r="B48" s="38"/>
      <c r="C48" s="38"/>
      <c r="D48" s="38"/>
      <c r="E48" s="38"/>
      <c r="F48" s="39"/>
      <c r="G48" s="40"/>
      <c r="H48" s="45"/>
      <c r="I48" s="23"/>
      <c r="J48" s="2"/>
    </row>
    <row r="49" spans="1:10" s="3" customFormat="1">
      <c r="A49" s="41"/>
      <c r="B49" s="23" t="s">
        <v>160</v>
      </c>
      <c r="C49" s="42" t="str">
        <f>HYPERLINK("https://support.industry.siemens.com/cs/ww/en/view/109760820","SINUMERIK 840D sl Basesoftware and operating software")</f>
        <v>SINUMERIK 840D sl Basesoftware and operating software</v>
      </c>
      <c r="D49" s="23" t="str">
        <f>"08/2018"</f>
        <v>08/2018</v>
      </c>
      <c r="E49" s="23" t="s">
        <v>206</v>
      </c>
      <c r="F49" s="23" t="s">
        <v>136</v>
      </c>
      <c r="G49" s="43" t="s">
        <v>136</v>
      </c>
      <c r="H49" s="44"/>
      <c r="I49" s="44"/>
    </row>
    <row r="50" spans="1:10" s="3" customFormat="1">
      <c r="A50" s="41"/>
      <c r="B50" s="23" t="s">
        <v>160</v>
      </c>
      <c r="C50" s="42" t="str">
        <f>HYPERLINK("https://support.industry.siemens.com/cs/ww/en/view/109752357","SINUMERIK 840D sl Commissioning CNC: NC, PLC, Drive")</f>
        <v>SINUMERIK 840D sl Commissioning CNC: NC, PLC, Drive</v>
      </c>
      <c r="D50" s="23" t="str">
        <f>"12/2017"</f>
        <v>12/2017</v>
      </c>
      <c r="E50" s="23" t="s">
        <v>161</v>
      </c>
      <c r="F50" s="23" t="s">
        <v>136</v>
      </c>
      <c r="G50" s="43" t="s">
        <v>136</v>
      </c>
      <c r="H50" s="44"/>
      <c r="I50" s="44"/>
    </row>
    <row r="51" spans="1:10" s="3" customFormat="1">
      <c r="A51" s="41"/>
      <c r="B51" s="23" t="s">
        <v>160</v>
      </c>
      <c r="C51" s="42" t="str">
        <f>HYPERLINK("https://support.industry.siemens.com/cs/ww/en/view/109310641","SINUMERIK 840Di sl/840D sl/840D, Base software and HMI Advanced")</f>
        <v>SINUMERIK 840Di sl/840D sl/840D, Base software and HMI Advanced</v>
      </c>
      <c r="D51" s="23" t="str">
        <f>"03/2009"</f>
        <v>03/2009</v>
      </c>
      <c r="E51" s="23" t="s">
        <v>162</v>
      </c>
      <c r="F51" s="23" t="s">
        <v>136</v>
      </c>
      <c r="G51" s="43" t="s">
        <v>136</v>
      </c>
      <c r="H51" s="44"/>
      <c r="I51" s="44"/>
    </row>
    <row r="52" spans="1:10" s="3" customFormat="1">
      <c r="A52" s="41"/>
      <c r="B52" s="23" t="s">
        <v>160</v>
      </c>
      <c r="C52" s="42" t="str">
        <f>HYPERLINK("https://support.industry.siemens.com/cs/ww/en/view/28739466","SINUMERIK 840D sl CNC: ShopMill")</f>
        <v>SINUMERIK 840D sl CNC: ShopMill</v>
      </c>
      <c r="D52" s="23" t="str">
        <f>"01/2008"</f>
        <v>01/2008</v>
      </c>
      <c r="E52" s="23" t="s">
        <v>163</v>
      </c>
      <c r="F52" s="23" t="s">
        <v>136</v>
      </c>
      <c r="G52" s="43" t="s">
        <v>136</v>
      </c>
      <c r="H52" s="44"/>
      <c r="I52" s="44"/>
    </row>
    <row r="53" spans="1:10" s="3" customFormat="1">
      <c r="A53" s="41"/>
      <c r="B53" s="23" t="s">
        <v>160</v>
      </c>
      <c r="C53" s="42" t="str">
        <f>HYPERLINK("https://support.industry.siemens.com/cs/ww/en/view/28739651","SINUMERIK 840D sl CNC: ShopTurn")</f>
        <v>SINUMERIK 840D sl CNC: ShopTurn</v>
      </c>
      <c r="D53" s="23" t="str">
        <f>"01/2008"</f>
        <v>01/2008</v>
      </c>
      <c r="E53" s="23" t="s">
        <v>164</v>
      </c>
      <c r="F53" s="23" t="s">
        <v>136</v>
      </c>
      <c r="G53" s="43" t="s">
        <v>136</v>
      </c>
      <c r="H53" s="44"/>
      <c r="I53" s="44"/>
    </row>
    <row r="54" spans="1:10" s="3" customFormat="1">
      <c r="A54" s="41"/>
      <c r="B54" s="23" t="s">
        <v>160</v>
      </c>
      <c r="C54" s="42" t="str">
        <f>HYPERLINK("https://support.industry.siemens.com/cs/ww/en/view/109760818","SINUMERIK 840D sl control system SINUMERIK Software Update Tool")</f>
        <v>SINUMERIK 840D sl control system SINUMERIK Software Update Tool</v>
      </c>
      <c r="D54" s="23" t="str">
        <f>"03/2018"</f>
        <v>03/2018</v>
      </c>
      <c r="E54" s="23"/>
      <c r="F54" s="23" t="s">
        <v>136</v>
      </c>
      <c r="G54" s="43" t="s">
        <v>136</v>
      </c>
      <c r="H54" s="44"/>
      <c r="I54" s="44"/>
    </row>
    <row r="55" spans="1:10" s="3" customFormat="1">
      <c r="A55" s="41"/>
      <c r="B55" s="23" t="s">
        <v>160</v>
      </c>
      <c r="C55" s="42" t="str">
        <f>HYPERLINK("https://support.industry.siemens.com/cs/ww/en/view/109763245","SINUMERIK 840D sl SINUMERIK Run MyRobot /Direct Control")</f>
        <v>SINUMERIK 840D sl SINUMERIK Run MyRobot /Direct Control</v>
      </c>
      <c r="D55" s="23" t="str">
        <f>"12/2018"</f>
        <v>12/2018</v>
      </c>
      <c r="E55" s="23"/>
      <c r="F55" s="23" t="s">
        <v>136</v>
      </c>
      <c r="G55" s="43" t="s">
        <v>136</v>
      </c>
      <c r="H55" s="44"/>
      <c r="I55" s="44"/>
    </row>
    <row r="56" spans="1:10" s="3" customFormat="1">
      <c r="A56" s="41"/>
      <c r="B56" s="23" t="s">
        <v>165</v>
      </c>
      <c r="C56" s="42" t="str">
        <f>HYPERLINK("https://support.industry.siemens.com/cs/ww/en/view/109760821","SINUMERIK 840D sl, SINAMICS S120 machine data and parameters")</f>
        <v>SINUMERIK 840D sl, SINAMICS S120 machine data and parameters</v>
      </c>
      <c r="D56" s="23" t="str">
        <f t="shared" ref="D56:D65" si="1">"08/2018"</f>
        <v>08/2018</v>
      </c>
      <c r="E56" s="23" t="s">
        <v>207</v>
      </c>
      <c r="F56" s="23" t="s">
        <v>136</v>
      </c>
      <c r="G56" s="43" t="s">
        <v>136</v>
      </c>
      <c r="H56" s="44"/>
      <c r="I56" s="44"/>
    </row>
    <row r="57" spans="1:10" s="3" customFormat="1">
      <c r="A57" s="41"/>
      <c r="B57" s="23" t="s">
        <v>165</v>
      </c>
      <c r="C57" s="42" t="str">
        <f>HYPERLINK("https://support.industry.siemens.com/cs/ww/en/view/109760772","SINUMERIK 840D sl, NC variables and interface signals")</f>
        <v>SINUMERIK 840D sl, NC variables and interface signals</v>
      </c>
      <c r="D57" s="23" t="str">
        <f t="shared" si="1"/>
        <v>08/2018</v>
      </c>
      <c r="E57" s="23" t="s">
        <v>208</v>
      </c>
      <c r="F57" s="23" t="s">
        <v>136</v>
      </c>
      <c r="G57" s="43" t="s">
        <v>136</v>
      </c>
      <c r="H57" s="44"/>
      <c r="I57" s="44"/>
    </row>
    <row r="58" spans="1:10" s="3" customFormat="1">
      <c r="A58" s="41"/>
      <c r="B58" s="23" t="s">
        <v>165</v>
      </c>
      <c r="C58" s="42" t="str">
        <f>HYPERLINK("https://support.industry.siemens.com/cs/ww/en/view/109760776","SINUMERIK 840D sl System variables")</f>
        <v>SINUMERIK 840D sl System variables</v>
      </c>
      <c r="D58" s="23" t="str">
        <f t="shared" si="1"/>
        <v>08/2018</v>
      </c>
      <c r="E58" s="23" t="s">
        <v>209</v>
      </c>
      <c r="F58" s="23" t="s">
        <v>136</v>
      </c>
      <c r="G58" s="43" t="s">
        <v>136</v>
      </c>
      <c r="H58" s="44"/>
      <c r="I58" s="44"/>
    </row>
    <row r="59" spans="1:10">
      <c r="A59" s="37" t="s">
        <v>166</v>
      </c>
      <c r="B59" s="38"/>
      <c r="C59" s="38"/>
      <c r="D59" s="38"/>
      <c r="E59" s="38"/>
      <c r="F59" s="39"/>
      <c r="G59" s="40"/>
      <c r="H59" s="45"/>
      <c r="I59" s="23"/>
      <c r="J59" s="2"/>
    </row>
    <row r="60" spans="1:10" s="3" customFormat="1">
      <c r="A60" s="41"/>
      <c r="B60" s="23" t="s">
        <v>167</v>
      </c>
      <c r="C60" s="42" t="str">
        <f>HYPERLINK("https://support.industry.siemens.com/cs/ww/en/view/109761095","SINUMERIK Operate acceptance test")</f>
        <v>SINUMERIK Operate acceptance test</v>
      </c>
      <c r="D60" s="23" t="str">
        <f t="shared" si="1"/>
        <v>08/2018</v>
      </c>
      <c r="E60" s="23"/>
      <c r="F60" s="23" t="s">
        <v>136</v>
      </c>
      <c r="G60" s="43" t="s">
        <v>136</v>
      </c>
      <c r="H60" s="44"/>
      <c r="I60" s="44"/>
    </row>
    <row r="61" spans="1:10" s="3" customFormat="1">
      <c r="A61" s="41"/>
      <c r="B61" s="23" t="s">
        <v>167</v>
      </c>
      <c r="C61" s="42" t="str">
        <f>HYPERLINK("https://support.industry.siemens.com/cs/ww/en/view/109760797","SINUMERIK 840D sl / 828D Basic Functions")</f>
        <v>SINUMERIK 840D sl / 828D Basic Functions</v>
      </c>
      <c r="D61" s="23" t="str">
        <f t="shared" si="1"/>
        <v>08/2018</v>
      </c>
      <c r="E61" s="23" t="s">
        <v>210</v>
      </c>
      <c r="F61" s="23" t="s">
        <v>136</v>
      </c>
      <c r="G61" s="43" t="s">
        <v>136</v>
      </c>
      <c r="H61" s="44"/>
      <c r="I61" s="44"/>
    </row>
    <row r="62" spans="1:10" s="3" customFormat="1">
      <c r="A62" s="41"/>
      <c r="B62" s="23" t="s">
        <v>167</v>
      </c>
      <c r="C62" s="42" t="str">
        <f>HYPERLINK("https://support.industry.siemens.com/cs/ww/en/view/109760799","SINUMERIK 840D sl / 828D Extended Functions")</f>
        <v>SINUMERIK 840D sl / 828D Extended Functions</v>
      </c>
      <c r="D62" s="23" t="str">
        <f t="shared" si="1"/>
        <v>08/2018</v>
      </c>
      <c r="E62" s="23" t="s">
        <v>211</v>
      </c>
      <c r="F62" s="23" t="s">
        <v>136</v>
      </c>
      <c r="G62" s="43" t="s">
        <v>136</v>
      </c>
      <c r="H62" s="44"/>
      <c r="I62" s="44"/>
    </row>
    <row r="63" spans="1:10" s="3" customFormat="1">
      <c r="A63" s="41"/>
      <c r="B63" s="23" t="s">
        <v>167</v>
      </c>
      <c r="C63" s="42" t="str">
        <f>HYPERLINK("https://support.industry.siemens.com/cs/ww/en/view/109760807","SINUMERIK 840D sl / 828D special functions")</f>
        <v>SINUMERIK 840D sl / 828D special functions</v>
      </c>
      <c r="D63" s="23" t="str">
        <f t="shared" si="1"/>
        <v>08/2018</v>
      </c>
      <c r="E63" s="23" t="s">
        <v>212</v>
      </c>
      <c r="F63" s="23" t="s">
        <v>136</v>
      </c>
      <c r="G63" s="43" t="s">
        <v>136</v>
      </c>
      <c r="H63" s="44"/>
      <c r="I63" s="44"/>
    </row>
    <row r="64" spans="1:10" s="3" customFormat="1">
      <c r="A64" s="41"/>
      <c r="B64" s="23" t="s">
        <v>167</v>
      </c>
      <c r="C64" s="42" t="str">
        <f>HYPERLINK("https://support.industry.siemens.com/cs/ww/en/view/109760806","SINUMERIK 840D sl / 828D Synchronized Actions")</f>
        <v>SINUMERIK 840D sl / 828D Synchronized Actions</v>
      </c>
      <c r="D64" s="23" t="str">
        <f t="shared" si="1"/>
        <v>08/2018</v>
      </c>
      <c r="E64" s="23" t="s">
        <v>213</v>
      </c>
      <c r="F64" s="23" t="s">
        <v>136</v>
      </c>
      <c r="G64" s="43" t="s">
        <v>136</v>
      </c>
      <c r="H64" s="44"/>
      <c r="I64" s="44"/>
    </row>
    <row r="65" spans="1:10" s="3" customFormat="1">
      <c r="A65" s="41"/>
      <c r="B65" s="23" t="s">
        <v>167</v>
      </c>
      <c r="C65" s="42" t="str">
        <f>HYPERLINK("https://support.industry.siemens.com/cs/ww/en/view/109760825","SINUMERIK 840D sl  Tool Management")</f>
        <v>SINUMERIK 840D sl  Tool Management</v>
      </c>
      <c r="D65" s="23" t="str">
        <f t="shared" si="1"/>
        <v>08/2018</v>
      </c>
      <c r="E65" s="23" t="s">
        <v>214</v>
      </c>
      <c r="F65" s="23" t="s">
        <v>136</v>
      </c>
      <c r="G65" s="43" t="s">
        <v>136</v>
      </c>
      <c r="H65" s="44"/>
      <c r="I65" s="44"/>
    </row>
    <row r="66" spans="1:10" s="3" customFormat="1">
      <c r="A66" s="41"/>
      <c r="B66" s="23" t="s">
        <v>160</v>
      </c>
      <c r="C66" s="42" t="str">
        <f>HYPERLINK("https://support.industry.siemens.com/cs/ww/en/view/109755671","SINUMERIK 840D sl Safety Integrated plus")</f>
        <v>SINUMERIK 840D sl Safety Integrated plus</v>
      </c>
      <c r="D66" s="23" t="str">
        <f>"01/2018"</f>
        <v>01/2018</v>
      </c>
      <c r="E66" s="23" t="s">
        <v>215</v>
      </c>
      <c r="F66" s="23" t="s">
        <v>136</v>
      </c>
      <c r="G66" s="43" t="s">
        <v>136</v>
      </c>
      <c r="H66" s="44"/>
      <c r="I66" s="44"/>
    </row>
    <row r="67" spans="1:10" s="3" customFormat="1">
      <c r="A67" s="41"/>
      <c r="B67" s="23" t="s">
        <v>167</v>
      </c>
      <c r="C67" s="42" t="str">
        <f>HYPERLINK("https://support.industry.siemens.com/cs/ww/en/view/109757622","SINUMERIK 840D sl Safety Integrated")</f>
        <v>SINUMERIK 840D sl Safety Integrated</v>
      </c>
      <c r="D67" s="23" t="str">
        <f>"12/2017"</f>
        <v>12/2017</v>
      </c>
      <c r="E67" s="23" t="s">
        <v>216</v>
      </c>
      <c r="F67" s="23" t="s">
        <v>136</v>
      </c>
      <c r="G67" s="43" t="s">
        <v>136</v>
      </c>
      <c r="H67" s="44"/>
      <c r="I67" s="44"/>
    </row>
    <row r="68" spans="1:10" s="3" customFormat="1">
      <c r="A68" s="41"/>
      <c r="B68" s="23" t="s">
        <v>167</v>
      </c>
      <c r="C68" s="42" t="str">
        <f>HYPERLINK("https://support.industry.siemens.com/cs/ww/en/view/109736195","SINUMERIK 840D sl/SINAMICS S120, SINUMERIK Safety Integrated")</f>
        <v>SINUMERIK 840D sl/SINAMICS S120, SINUMERIK Safety Integrated</v>
      </c>
      <c r="D68" s="23" t="str">
        <f>"10/2015"</f>
        <v>10/2015</v>
      </c>
      <c r="E68" s="23" t="s">
        <v>168</v>
      </c>
      <c r="F68" s="23" t="s">
        <v>136</v>
      </c>
      <c r="G68" s="43" t="s">
        <v>136</v>
      </c>
      <c r="H68" s="44"/>
      <c r="I68" s="44"/>
    </row>
    <row r="69" spans="1:10" s="3" customFormat="1">
      <c r="A69" s="41"/>
      <c r="B69" s="23" t="s">
        <v>167</v>
      </c>
      <c r="C69" s="42" t="str">
        <f>HYPERLINK("https://support.industry.siemens.com/cs/ww/en/view/65371498","SINUMERIK 840D sl / 828D ISO Dialects")</f>
        <v>SINUMERIK 840D sl / 828D ISO Dialects</v>
      </c>
      <c r="D69" s="23" t="str">
        <f>"02/2012"</f>
        <v>02/2012</v>
      </c>
      <c r="E69" s="23" t="s">
        <v>169</v>
      </c>
      <c r="F69" s="23" t="s">
        <v>136</v>
      </c>
      <c r="G69" s="43" t="s">
        <v>136</v>
      </c>
      <c r="H69" s="44"/>
      <c r="I69" s="44"/>
    </row>
    <row r="70" spans="1:10" s="3" customFormat="1">
      <c r="A70" s="41"/>
      <c r="B70" s="23" t="s">
        <v>171</v>
      </c>
      <c r="C70" s="42" t="str">
        <f>HYPERLINK("https://support.industry.siemens.com/cs/de/de/view/109762882","SINUMERIK CNC - SINUMERIK 840D sl Overviews of functions")</f>
        <v>SINUMERIK CNC - SINUMERIK 840D sl Overviews of functions</v>
      </c>
      <c r="D70" s="23" t="str">
        <f>"2019"</f>
        <v>2019</v>
      </c>
      <c r="E70" s="23"/>
      <c r="F70" s="23" t="s">
        <v>136</v>
      </c>
      <c r="G70" s="43"/>
      <c r="H70" s="44"/>
      <c r="I70" s="44"/>
    </row>
    <row r="71" spans="1:10" s="3" customFormat="1" ht="30">
      <c r="A71" s="41"/>
      <c r="B71" s="23" t="s">
        <v>171</v>
      </c>
      <c r="C71" s="23" t="s">
        <v>217</v>
      </c>
      <c r="D71" s="23" t="str">
        <f>"2018"</f>
        <v>2018</v>
      </c>
      <c r="E71" s="23"/>
      <c r="F71" s="23" t="s">
        <v>136</v>
      </c>
      <c r="G71" s="43" t="s">
        <v>136</v>
      </c>
      <c r="H71" s="44"/>
      <c r="I71" s="44"/>
    </row>
    <row r="72" spans="1:10">
      <c r="A72" s="32" t="s">
        <v>218</v>
      </c>
      <c r="B72" s="33"/>
      <c r="C72" s="34"/>
      <c r="D72" s="33"/>
      <c r="E72" s="33"/>
      <c r="F72" s="35"/>
      <c r="G72" s="36"/>
      <c r="H72" s="47"/>
      <c r="I72" s="23"/>
      <c r="J72" s="2"/>
    </row>
    <row r="73" spans="1:10">
      <c r="A73" s="37" t="s">
        <v>149</v>
      </c>
      <c r="B73" s="38"/>
      <c r="C73" s="38"/>
      <c r="D73" s="38"/>
      <c r="E73" s="38"/>
      <c r="F73" s="39"/>
      <c r="G73" s="40"/>
      <c r="H73" s="45"/>
      <c r="I73" s="23"/>
      <c r="J73" s="2"/>
    </row>
    <row r="74" spans="1:10" s="3" customFormat="1">
      <c r="A74" s="41"/>
      <c r="B74" s="23" t="s">
        <v>150</v>
      </c>
      <c r="C74" s="42" t="str">
        <f>HYPERLINK("https://support.industry.siemens.com/cs/ww/en/view/109763414","SINUMERIK 828D PPU and components")</f>
        <v>SINUMERIK 828D PPU and components</v>
      </c>
      <c r="D74" s="23" t="str">
        <f>"01/2019"</f>
        <v>01/2019</v>
      </c>
      <c r="E74" s="23" t="s">
        <v>219</v>
      </c>
      <c r="F74" s="23" t="s">
        <v>136</v>
      </c>
      <c r="G74" s="43" t="s">
        <v>136</v>
      </c>
      <c r="H74" s="44"/>
      <c r="I74" s="44"/>
    </row>
    <row r="75" spans="1:10" s="3" customFormat="1">
      <c r="A75" s="41"/>
      <c r="B75" s="23" t="s">
        <v>137</v>
      </c>
      <c r="C75" s="42" t="str">
        <f>HYPERLINK("https://support.industry.siemens.com/cs/ww/en/view/109481517","SINUMERIK 840D sl / 828D Ctrl-Energy")</f>
        <v>SINUMERIK 840D sl / 828D Ctrl-Energy</v>
      </c>
      <c r="D75" s="23" t="str">
        <f>"10/2015"</f>
        <v>10/2015</v>
      </c>
      <c r="E75" s="23" t="s">
        <v>157</v>
      </c>
      <c r="F75" s="23" t="s">
        <v>136</v>
      </c>
      <c r="G75" s="43" t="s">
        <v>136</v>
      </c>
      <c r="H75" s="44"/>
      <c r="I75" s="44"/>
    </row>
    <row r="76" spans="1:10">
      <c r="A76" s="37" t="s">
        <v>220</v>
      </c>
      <c r="B76" s="38"/>
      <c r="C76" s="38"/>
      <c r="D76" s="38"/>
      <c r="E76" s="38"/>
      <c r="F76" s="39"/>
      <c r="G76" s="40"/>
      <c r="H76" s="45"/>
      <c r="I76" s="23"/>
      <c r="J76" s="2"/>
    </row>
    <row r="77" spans="1:10" s="3" customFormat="1">
      <c r="A77" s="41"/>
      <c r="B77" s="23" t="s">
        <v>165</v>
      </c>
      <c r="C77" s="42" t="str">
        <f>HYPERLINK("https://support.industry.siemens.com/cs/ww/en/view/109761929","SINUMERIK 828D SINAMICS S120 machine data")</f>
        <v>SINUMERIK 828D SINAMICS S120 machine data</v>
      </c>
      <c r="D77" s="23" t="str">
        <f t="shared" ref="D77:D88" si="2">"08/2018"</f>
        <v>08/2018</v>
      </c>
      <c r="E77" s="23" t="s">
        <v>221</v>
      </c>
      <c r="F77" s="23" t="s">
        <v>136</v>
      </c>
      <c r="G77" s="43" t="s">
        <v>136</v>
      </c>
      <c r="H77" s="44"/>
      <c r="I77" s="44"/>
    </row>
    <row r="78" spans="1:10" s="3" customFormat="1">
      <c r="A78" s="41"/>
      <c r="B78" s="23" t="s">
        <v>165</v>
      </c>
      <c r="C78" s="42" t="str">
        <f>HYPERLINK("https://support.industry.siemens.com/cs/ww/en/view/109761885","SINUMERIK 828D, NC variables and interface signals")</f>
        <v>SINUMERIK 828D, NC variables and interface signals</v>
      </c>
      <c r="D78" s="23" t="str">
        <f t="shared" si="2"/>
        <v>08/2018</v>
      </c>
      <c r="E78" s="23" t="s">
        <v>222</v>
      </c>
      <c r="F78" s="23" t="s">
        <v>136</v>
      </c>
      <c r="G78" s="43" t="s">
        <v>136</v>
      </c>
      <c r="H78" s="44"/>
      <c r="I78" s="44"/>
    </row>
    <row r="79" spans="1:10" s="3" customFormat="1">
      <c r="A79" s="41"/>
      <c r="B79" s="23" t="s">
        <v>165</v>
      </c>
      <c r="C79" s="42" t="str">
        <f>HYPERLINK("https://support.industry.siemens.com/cs/ww/en/view/109761934","SINUMERIK 828D SINAMICS S120 Parameter description")</f>
        <v>SINUMERIK 828D SINAMICS S120 Parameter description</v>
      </c>
      <c r="D79" s="23" t="str">
        <f t="shared" si="2"/>
        <v>08/2018</v>
      </c>
      <c r="E79" s="23" t="s">
        <v>223</v>
      </c>
      <c r="F79" s="23" t="s">
        <v>136</v>
      </c>
      <c r="G79" s="43" t="s">
        <v>136</v>
      </c>
      <c r="H79" s="44"/>
      <c r="I79" s="44"/>
    </row>
    <row r="80" spans="1:10" s="3" customFormat="1">
      <c r="A80" s="41"/>
      <c r="B80" s="23" t="s">
        <v>165</v>
      </c>
      <c r="C80" s="42" t="str">
        <f>HYPERLINK("https://support.industry.siemens.com/cs/ww/en/view/109761937","SINUMERIK 828D system variables")</f>
        <v>SINUMERIK 828D system variables</v>
      </c>
      <c r="D80" s="23" t="str">
        <f t="shared" si="2"/>
        <v>08/2018</v>
      </c>
      <c r="E80" s="23" t="s">
        <v>224</v>
      </c>
      <c r="F80" s="23" t="s">
        <v>136</v>
      </c>
      <c r="G80" s="43" t="s">
        <v>136</v>
      </c>
      <c r="H80" s="44"/>
      <c r="I80" s="44"/>
    </row>
    <row r="81" spans="1:10" s="3" customFormat="1">
      <c r="A81" s="41"/>
      <c r="B81" s="23" t="s">
        <v>160</v>
      </c>
      <c r="C81" s="42" t="str">
        <f>HYPERLINK("https://support.industry.siemens.com/cs/ww/en/view/109761933","SINUMERIK 828D Commissioning")</f>
        <v>SINUMERIK 828D Commissioning</v>
      </c>
      <c r="D81" s="23" t="str">
        <f t="shared" si="2"/>
        <v>08/2018</v>
      </c>
      <c r="E81" s="23" t="s">
        <v>225</v>
      </c>
      <c r="F81" s="23" t="s">
        <v>136</v>
      </c>
      <c r="G81" s="43" t="s">
        <v>136</v>
      </c>
      <c r="H81" s="44"/>
      <c r="I81" s="44"/>
    </row>
    <row r="82" spans="1:10" s="3" customFormat="1">
      <c r="A82" s="41"/>
      <c r="B82" s="23" t="s">
        <v>226</v>
      </c>
      <c r="C82" s="42" t="str">
        <f>HYPERLINK("https://support.industry.siemens.com/cs/ww/en/view/109762484","SINUMERIK 828D Software and hardware")</f>
        <v>SINUMERIK 828D Software and hardware</v>
      </c>
      <c r="D82" s="23" t="str">
        <f t="shared" si="2"/>
        <v>08/2018</v>
      </c>
      <c r="E82" s="23" t="s">
        <v>227</v>
      </c>
      <c r="F82" s="23" t="s">
        <v>136</v>
      </c>
      <c r="G82" s="43" t="s">
        <v>136</v>
      </c>
      <c r="H82" s="44"/>
      <c r="I82" s="44"/>
    </row>
    <row r="83" spans="1:10">
      <c r="A83" s="37" t="s">
        <v>166</v>
      </c>
      <c r="B83" s="38"/>
      <c r="C83" s="38"/>
      <c r="D83" s="38"/>
      <c r="E83" s="38"/>
      <c r="F83" s="39"/>
      <c r="G83" s="40"/>
      <c r="H83" s="45"/>
      <c r="I83" s="23"/>
      <c r="J83" s="2"/>
    </row>
    <row r="84" spans="1:10" s="3" customFormat="1">
      <c r="A84" s="41"/>
      <c r="B84" s="23" t="s">
        <v>167</v>
      </c>
      <c r="C84" s="42" t="str">
        <f>HYPERLINK("https://support.industry.siemens.com/cs/ww/en/view/109760797","SINUMERIK 840D sl / 828D Basic Functions")</f>
        <v>SINUMERIK 840D sl / 828D Basic Functions</v>
      </c>
      <c r="D84" s="23" t="str">
        <f t="shared" si="2"/>
        <v>08/2018</v>
      </c>
      <c r="E84" s="23" t="s">
        <v>210</v>
      </c>
      <c r="F84" s="23" t="s">
        <v>136</v>
      </c>
      <c r="G84" s="43" t="s">
        <v>136</v>
      </c>
      <c r="H84" s="44"/>
      <c r="I84" s="44"/>
    </row>
    <row r="85" spans="1:10" s="3" customFormat="1">
      <c r="A85" s="41"/>
      <c r="B85" s="23" t="s">
        <v>167</v>
      </c>
      <c r="C85" s="42" t="str">
        <f>HYPERLINK("https://support.industry.siemens.com/cs/ww/en/view/109760799","SINUMERIK 840D sl / 828D Extended Functions")</f>
        <v>SINUMERIK 840D sl / 828D Extended Functions</v>
      </c>
      <c r="D85" s="23" t="str">
        <f t="shared" si="2"/>
        <v>08/2018</v>
      </c>
      <c r="E85" s="23" t="s">
        <v>211</v>
      </c>
      <c r="F85" s="23" t="s">
        <v>136</v>
      </c>
      <c r="G85" s="43" t="s">
        <v>136</v>
      </c>
      <c r="H85" s="44"/>
      <c r="I85" s="44"/>
    </row>
    <row r="86" spans="1:10" s="3" customFormat="1">
      <c r="A86" s="41"/>
      <c r="B86" s="23" t="s">
        <v>167</v>
      </c>
      <c r="C86" s="42" t="str">
        <f>HYPERLINK("https://support.industry.siemens.com/cs/ww/en/view/109760807","SINUMERIK 840D sl / 828D special functions")</f>
        <v>SINUMERIK 840D sl / 828D special functions</v>
      </c>
      <c r="D86" s="23" t="str">
        <f t="shared" si="2"/>
        <v>08/2018</v>
      </c>
      <c r="E86" s="23" t="s">
        <v>212</v>
      </c>
      <c r="F86" s="23" t="s">
        <v>136</v>
      </c>
      <c r="G86" s="43" t="s">
        <v>136</v>
      </c>
      <c r="H86" s="44"/>
      <c r="I86" s="44"/>
    </row>
    <row r="87" spans="1:10" s="3" customFormat="1">
      <c r="A87" s="41"/>
      <c r="B87" s="23" t="s">
        <v>167</v>
      </c>
      <c r="C87" s="42" t="str">
        <f>HYPERLINK("https://support.industry.siemens.com/cs/ww/en/view/109760806","SINUMERIK 840D sl / 828D Synchronized Actions")</f>
        <v>SINUMERIK 840D sl / 828D Synchronized Actions</v>
      </c>
      <c r="D87" s="23" t="str">
        <f t="shared" si="2"/>
        <v>08/2018</v>
      </c>
      <c r="E87" s="23" t="s">
        <v>213</v>
      </c>
      <c r="F87" s="23" t="s">
        <v>136</v>
      </c>
      <c r="G87" s="43" t="s">
        <v>136</v>
      </c>
      <c r="H87" s="44"/>
      <c r="I87" s="44"/>
    </row>
    <row r="88" spans="1:10" s="3" customFormat="1">
      <c r="A88" s="41"/>
      <c r="B88" s="23" t="s">
        <v>167</v>
      </c>
      <c r="C88" s="42" t="str">
        <f>HYPERLINK("https://support.industry.siemens.com/cs/ww/en/view/109761936","SINUMERIK 828D SINAMICS S120 Safety Integrated")</f>
        <v>SINUMERIK 828D SINAMICS S120 Safety Integrated</v>
      </c>
      <c r="D88" s="23" t="str">
        <f t="shared" si="2"/>
        <v>08/2018</v>
      </c>
      <c r="E88" s="23" t="s">
        <v>228</v>
      </c>
      <c r="F88" s="23" t="s">
        <v>136</v>
      </c>
      <c r="G88" s="43" t="s">
        <v>136</v>
      </c>
      <c r="H88" s="44"/>
      <c r="I88" s="44"/>
    </row>
    <row r="89" spans="1:10" s="3" customFormat="1">
      <c r="A89" s="41"/>
      <c r="B89" s="23" t="s">
        <v>171</v>
      </c>
      <c r="C89" s="42" t="str">
        <f>HYPERLINK("https://support.industry.siemens.com/cs/ww/en/view/109762883","SINUMERIK CNC controls - SINUMERIK 828 Overviews of functions")</f>
        <v>SINUMERIK CNC controls - SINUMERIK 828 Overviews of functions</v>
      </c>
      <c r="D89" s="23" t="str">
        <f>"2018"</f>
        <v>2018</v>
      </c>
      <c r="E89" s="23"/>
      <c r="F89" s="23" t="s">
        <v>136</v>
      </c>
      <c r="G89" s="43" t="s">
        <v>136</v>
      </c>
      <c r="H89" s="44"/>
      <c r="I89" s="44"/>
    </row>
    <row r="90" spans="1:10">
      <c r="A90" s="32" t="s">
        <v>229</v>
      </c>
      <c r="B90" s="33"/>
      <c r="C90" s="34"/>
      <c r="D90" s="33"/>
      <c r="E90" s="33"/>
      <c r="F90" s="35"/>
      <c r="G90" s="36"/>
      <c r="H90" s="48"/>
      <c r="I90" s="23"/>
      <c r="J90" s="2"/>
    </row>
    <row r="91" spans="1:10">
      <c r="A91" s="49" t="s">
        <v>230</v>
      </c>
      <c r="B91" s="38"/>
      <c r="C91" s="38"/>
      <c r="D91" s="38"/>
      <c r="E91" s="38"/>
      <c r="F91" s="39"/>
      <c r="G91" s="40"/>
      <c r="H91" s="45"/>
      <c r="I91" s="23"/>
      <c r="J91" s="2"/>
    </row>
    <row r="92" spans="1:10" s="3" customFormat="1" ht="30">
      <c r="A92" s="41"/>
      <c r="B92" s="23" t="s">
        <v>143</v>
      </c>
      <c r="C92" s="42" t="str">
        <f>HYPERLINK("https://support.industry.siemens.com/cs/ww/en/view/109759980","SINUMERIK 808D ADVANCED Programming and Operating Manual (Turning)")</f>
        <v>SINUMERIK 808D ADVANCED Programming and Operating Manual (Turning)</v>
      </c>
      <c r="D92" s="23" t="str">
        <f t="shared" ref="D92:D100" si="3">"07/2018"</f>
        <v>07/2018</v>
      </c>
      <c r="E92" s="23" t="s">
        <v>231</v>
      </c>
      <c r="F92" s="23"/>
      <c r="G92" s="43" t="s">
        <v>136</v>
      </c>
      <c r="H92" s="44"/>
      <c r="I92" s="44"/>
    </row>
    <row r="93" spans="1:10" s="3" customFormat="1" ht="30">
      <c r="A93" s="41"/>
      <c r="B93" s="23" t="s">
        <v>143</v>
      </c>
      <c r="C93" s="42" t="str">
        <f>HYPERLINK("https://support.industry.siemens.com/cs/ww/en/view/109759981","SINUMERIK 808D ADVANCED Programming and Operating Manual (Milling)")</f>
        <v>SINUMERIK 808D ADVANCED Programming and Operating Manual (Milling)</v>
      </c>
      <c r="D93" s="23" t="str">
        <f t="shared" si="3"/>
        <v>07/2018</v>
      </c>
      <c r="E93" s="23" t="s">
        <v>232</v>
      </c>
      <c r="F93" s="23"/>
      <c r="G93" s="43" t="s">
        <v>136</v>
      </c>
      <c r="H93" s="44"/>
      <c r="I93" s="44"/>
    </row>
    <row r="94" spans="1:10" s="3" customFormat="1" ht="30">
      <c r="A94" s="41"/>
      <c r="B94" s="23" t="s">
        <v>143</v>
      </c>
      <c r="C94" s="42" t="str">
        <f>HYPERLINK("https://support.industry.siemens.com/cs/ww/en/view/109759974","SINUMERIK 808D ADVANCED Programming and Operating Manual (ISO Turning/Milling)")</f>
        <v>SINUMERIK 808D ADVANCED Programming and Operating Manual (ISO Turning/Milling)</v>
      </c>
      <c r="D94" s="23" t="str">
        <f t="shared" si="3"/>
        <v>07/2018</v>
      </c>
      <c r="E94" s="23" t="s">
        <v>233</v>
      </c>
      <c r="F94" s="23"/>
      <c r="G94" s="43" t="s">
        <v>136</v>
      </c>
      <c r="H94" s="44"/>
      <c r="I94" s="44"/>
    </row>
    <row r="95" spans="1:10" s="3" customFormat="1" ht="30">
      <c r="A95" s="41"/>
      <c r="B95" s="23" t="s">
        <v>143</v>
      </c>
      <c r="C95" s="42" t="str">
        <f>HYPERLINK("https://support.industry.siemens.com/cs/ww/en/view/109759979","SINUMERIK 808D ADVANCED Programming and Operating Manual (Manual Machine Plus Turning)")</f>
        <v>SINUMERIK 808D ADVANCED Programming and Operating Manual (Manual Machine Plus Turning)</v>
      </c>
      <c r="D95" s="23" t="str">
        <f t="shared" si="3"/>
        <v>07/2018</v>
      </c>
      <c r="E95" s="23" t="s">
        <v>234</v>
      </c>
      <c r="F95" s="23"/>
      <c r="G95" s="43" t="s">
        <v>136</v>
      </c>
      <c r="H95" s="44"/>
      <c r="I95" s="44"/>
    </row>
    <row r="96" spans="1:10" s="3" customFormat="1">
      <c r="A96" s="41"/>
      <c r="B96" s="23" t="s">
        <v>143</v>
      </c>
      <c r="C96" s="42" t="str">
        <f>HYPERLINK("https://support.industry.siemens.com/cs/ww/en/view/109759975","SINUMERIK 808D ADVANCED Function Manual")</f>
        <v>SINUMERIK 808D ADVANCED Function Manual</v>
      </c>
      <c r="D96" s="23" t="str">
        <f t="shared" si="3"/>
        <v>07/2018</v>
      </c>
      <c r="E96" s="23" t="s">
        <v>235</v>
      </c>
      <c r="F96" s="23"/>
      <c r="G96" s="43" t="s">
        <v>136</v>
      </c>
      <c r="H96" s="44"/>
      <c r="I96" s="44"/>
    </row>
    <row r="97" spans="1:10" s="3" customFormat="1">
      <c r="A97" s="41"/>
      <c r="B97" s="23" t="s">
        <v>236</v>
      </c>
      <c r="C97" s="42" t="str">
        <f>HYPERLINK("https://support.industry.siemens.com/cs/ww/en/view/109759978","SINUMERIK 808D ADVANCED Commissioning Manual")</f>
        <v>SINUMERIK 808D ADVANCED Commissioning Manual</v>
      </c>
      <c r="D97" s="23" t="str">
        <f t="shared" si="3"/>
        <v>07/2018</v>
      </c>
      <c r="E97" s="23" t="s">
        <v>237</v>
      </c>
      <c r="F97" s="23"/>
      <c r="G97" s="43" t="s">
        <v>136</v>
      </c>
      <c r="H97" s="44"/>
      <c r="I97" s="44"/>
    </row>
    <row r="98" spans="1:10" s="3" customFormat="1">
      <c r="A98" s="41"/>
      <c r="B98" s="23" t="s">
        <v>236</v>
      </c>
      <c r="C98" s="42" t="str">
        <f>HYPERLINK("https://support.industry.siemens.com/cs/ww/en/view/109759982","SINUMERIK 808D ADVANCED Service Manual")</f>
        <v>SINUMERIK 808D ADVANCED Service Manual</v>
      </c>
      <c r="D98" s="23" t="str">
        <f t="shared" si="3"/>
        <v>07/2018</v>
      </c>
      <c r="E98" s="23" t="s">
        <v>238</v>
      </c>
      <c r="F98" s="23"/>
      <c r="G98" s="43" t="s">
        <v>136</v>
      </c>
      <c r="H98" s="44"/>
      <c r="I98" s="44"/>
    </row>
    <row r="99" spans="1:10" s="3" customFormat="1">
      <c r="A99" s="41"/>
      <c r="B99" s="23" t="s">
        <v>165</v>
      </c>
      <c r="C99" s="42" t="str">
        <f>HYPERLINK("https://support.industry.siemens.com/cs/ww/en/view/109759977","SINUMERIK 808D ADVANCED Parameter Manual")</f>
        <v>SINUMERIK 808D ADVANCED Parameter Manual</v>
      </c>
      <c r="D99" s="23" t="str">
        <f t="shared" si="3"/>
        <v>07/2018</v>
      </c>
      <c r="E99" s="23" t="s">
        <v>239</v>
      </c>
      <c r="F99" s="23"/>
      <c r="G99" s="43" t="s">
        <v>136</v>
      </c>
      <c r="H99" s="44"/>
      <c r="I99" s="44"/>
    </row>
    <row r="100" spans="1:10" s="3" customFormat="1">
      <c r="A100" s="41"/>
      <c r="B100" s="23" t="s">
        <v>142</v>
      </c>
      <c r="C100" s="42" t="str">
        <f>HYPERLINK("https://support.industry.siemens.com/cs/ww/en/view/109759976","SINUMERIK 808D ADVANCED Diagnostics Manual")</f>
        <v>SINUMERIK 808D ADVANCED Diagnostics Manual</v>
      </c>
      <c r="D100" s="23" t="str">
        <f t="shared" si="3"/>
        <v>07/2018</v>
      </c>
      <c r="E100" s="23" t="s">
        <v>240</v>
      </c>
      <c r="F100" s="23"/>
      <c r="G100" s="43" t="s">
        <v>136</v>
      </c>
      <c r="H100" s="44"/>
      <c r="I100" s="44"/>
    </row>
    <row r="101" spans="1:10">
      <c r="A101" s="49" t="s">
        <v>241</v>
      </c>
      <c r="B101" s="38"/>
      <c r="C101" s="38"/>
      <c r="D101" s="38"/>
      <c r="E101" s="38"/>
      <c r="F101" s="39"/>
      <c r="G101" s="40"/>
      <c r="H101" s="45"/>
      <c r="I101" s="23"/>
      <c r="J101" s="2"/>
    </row>
    <row r="102" spans="1:10" s="3" customFormat="1">
      <c r="A102" s="41"/>
      <c r="B102" s="23" t="s">
        <v>171</v>
      </c>
      <c r="C102" s="42" t="str">
        <f>HYPERLINK("https://support.industry.siemens.com/cs/ww/en/view/79994958","SINAMICS V70 Servo Drives")</f>
        <v>SINAMICS V70 Servo Drives</v>
      </c>
      <c r="D102" s="23" t="str">
        <f>"08/2013"</f>
        <v>08/2013</v>
      </c>
      <c r="E102" s="23"/>
      <c r="F102" s="23" t="s">
        <v>136</v>
      </c>
      <c r="G102" s="43" t="s">
        <v>136</v>
      </c>
      <c r="H102" s="44"/>
      <c r="I102" s="44"/>
    </row>
    <row r="103" spans="1:10" s="3" customFormat="1">
      <c r="A103" s="41"/>
      <c r="B103" s="23" t="s">
        <v>171</v>
      </c>
      <c r="C103" s="42" t="str">
        <f>HYPERLINK("https://support.industry.siemens.com/cs/ww/en/view/109479062","1FL5 Motor")</f>
        <v>1FL5 Motor</v>
      </c>
      <c r="D103" s="23" t="str">
        <f>"2010"</f>
        <v>2010</v>
      </c>
      <c r="E103" s="23"/>
      <c r="F103" s="23"/>
      <c r="G103" s="43" t="s">
        <v>136</v>
      </c>
      <c r="H103" s="44"/>
      <c r="I103" s="44"/>
    </row>
    <row r="104" spans="1:10">
      <c r="A104" s="32" t="s">
        <v>242</v>
      </c>
      <c r="B104" s="33"/>
      <c r="C104" s="34"/>
      <c r="D104" s="33"/>
      <c r="E104" s="33"/>
      <c r="F104" s="35"/>
      <c r="G104" s="36"/>
      <c r="H104" s="48"/>
      <c r="I104" s="23"/>
      <c r="J104" s="2"/>
    </row>
    <row r="105" spans="1:10" s="3" customFormat="1">
      <c r="A105" s="41"/>
      <c r="B105" s="23" t="s">
        <v>167</v>
      </c>
      <c r="C105" s="42" t="str">
        <f>HYPERLINK("https://support.industry.siemens.com/cs/ww/en/view/109761936","SINUMERIK 828D SINAMICS S120 Safety Integrated")</f>
        <v>SINUMERIK 828D SINAMICS S120 Safety Integrated</v>
      </c>
      <c r="D105" s="23" t="str">
        <f>"08/2018"</f>
        <v>08/2018</v>
      </c>
      <c r="E105" s="23" t="s">
        <v>228</v>
      </c>
      <c r="F105" s="23" t="s">
        <v>136</v>
      </c>
      <c r="G105" s="43" t="s">
        <v>136</v>
      </c>
      <c r="H105" s="44"/>
      <c r="I105" s="44"/>
    </row>
    <row r="106" spans="1:10" s="3" customFormat="1">
      <c r="A106" s="41"/>
      <c r="B106" s="23" t="s">
        <v>167</v>
      </c>
      <c r="C106" s="42" t="str">
        <f>HYPERLINK("https://support.industry.siemens.com/cs/ww/en/view/109757622","SINUMERIK 840D sl Safety Integrated")</f>
        <v>SINUMERIK 840D sl Safety Integrated</v>
      </c>
      <c r="D106" s="23" t="str">
        <f>"12/2017"</f>
        <v>12/2017</v>
      </c>
      <c r="E106" s="23" t="s">
        <v>216</v>
      </c>
      <c r="F106" s="23" t="s">
        <v>136</v>
      </c>
      <c r="G106" s="43" t="s">
        <v>136</v>
      </c>
      <c r="H106" s="44"/>
      <c r="I106" s="44"/>
    </row>
    <row r="107" spans="1:10" s="3" customFormat="1">
      <c r="A107" s="41"/>
      <c r="B107" s="23" t="s">
        <v>167</v>
      </c>
      <c r="C107" s="42" t="str">
        <f>HYPERLINK("https://support.industry.siemens.com/cs/ww/en/view/109736195","SINUMERIK 840D sl/SINAMICS S120, SINUMERIK Safety Integrated")</f>
        <v>SINUMERIK 840D sl/SINAMICS S120, SINUMERIK Safety Integrated</v>
      </c>
      <c r="D107" s="23" t="str">
        <f>"10/2015"</f>
        <v>10/2015</v>
      </c>
      <c r="E107" s="23" t="s">
        <v>168</v>
      </c>
      <c r="F107" s="23" t="s">
        <v>136</v>
      </c>
      <c r="G107" s="43" t="s">
        <v>136</v>
      </c>
      <c r="H107" s="44"/>
      <c r="I107" s="44"/>
    </row>
    <row r="108" spans="1:10" s="3" customFormat="1">
      <c r="A108" s="41"/>
      <c r="B108" s="23" t="s">
        <v>160</v>
      </c>
      <c r="C108" s="42" t="str">
        <f>HYPERLINK("https://support.industry.siemens.com/cs/ww/en/view/109755671","SINUMERIK 840D sl Safety Integrated plus")</f>
        <v>SINUMERIK 840D sl Safety Integrated plus</v>
      </c>
      <c r="D108" s="23" t="str">
        <f>"01/2018"</f>
        <v>01/2018</v>
      </c>
      <c r="E108" s="23" t="s">
        <v>215</v>
      </c>
      <c r="F108" s="23" t="s">
        <v>136</v>
      </c>
      <c r="G108" s="43" t="s">
        <v>136</v>
      </c>
      <c r="H108" s="44"/>
      <c r="I108" s="44"/>
    </row>
    <row r="109" spans="1:10" s="3" customFormat="1" ht="30">
      <c r="A109" s="41"/>
      <c r="B109" s="23" t="s">
        <v>171</v>
      </c>
      <c r="C109" s="23" t="s">
        <v>217</v>
      </c>
      <c r="D109" s="23" t="str">
        <f>"2018"</f>
        <v>2018</v>
      </c>
      <c r="E109" s="23"/>
      <c r="F109" s="23" t="s">
        <v>136</v>
      </c>
      <c r="G109" s="43" t="s">
        <v>136</v>
      </c>
      <c r="H109" s="44"/>
      <c r="I109" s="44"/>
    </row>
    <row r="110" spans="1:10" s="3" customFormat="1">
      <c r="A110" s="41"/>
      <c r="B110" s="23" t="s">
        <v>167</v>
      </c>
      <c r="C110" s="42" t="str">
        <f>HYPERLINK("https://support.industry.siemens.com/cs/ww/en/view/109760403","SINAMICS S120 Safety Integrated Function Manual")</f>
        <v>SINAMICS S120 Safety Integrated Function Manual</v>
      </c>
      <c r="D110" s="23" t="str">
        <f>"07/2018"</f>
        <v>07/2018</v>
      </c>
      <c r="E110" s="23" t="s">
        <v>243</v>
      </c>
      <c r="F110" s="23" t="s">
        <v>136</v>
      </c>
      <c r="G110" s="43" t="s">
        <v>136</v>
      </c>
      <c r="H110" s="44"/>
      <c r="I110" s="44"/>
    </row>
    <row r="111" spans="1:10">
      <c r="A111" s="32" t="s">
        <v>244</v>
      </c>
      <c r="B111" s="33"/>
      <c r="C111" s="34"/>
      <c r="D111" s="33"/>
      <c r="E111" s="33"/>
      <c r="F111" s="35"/>
      <c r="G111" s="36"/>
      <c r="H111" s="23"/>
      <c r="I111" s="23"/>
      <c r="J111" s="2"/>
    </row>
    <row r="112" spans="1:10" s="3" customFormat="1">
      <c r="A112" s="41"/>
      <c r="B112" s="23" t="s">
        <v>155</v>
      </c>
      <c r="C112" s="42" t="str">
        <f>HYPERLINK("https://support.industry.siemens.com/cs/ww/en/view/109762877","SINUMERIK Access MyMachine / OPC UA")</f>
        <v>SINUMERIK Access MyMachine / OPC UA</v>
      </c>
      <c r="D112" s="23" t="str">
        <f>"12/2018"</f>
        <v>12/2018</v>
      </c>
      <c r="E112" s="23" t="s">
        <v>245</v>
      </c>
      <c r="F112" s="23" t="s">
        <v>136</v>
      </c>
      <c r="G112" s="43" t="s">
        <v>136</v>
      </c>
      <c r="H112" s="44"/>
      <c r="I112" s="44"/>
    </row>
    <row r="113" spans="1:9" s="3" customFormat="1">
      <c r="A113" s="41"/>
      <c r="B113" s="23" t="s">
        <v>155</v>
      </c>
      <c r="C113" s="42" t="str">
        <f>HYPERLINK("https://support.industry.siemens.com/cs/ww/en/view/109763258","SINUMERIK Integrate Create MyInterface (CMI)")</f>
        <v>SINUMERIK Integrate Create MyInterface (CMI)</v>
      </c>
      <c r="D113" s="23" t="str">
        <f>"06/2018"</f>
        <v>06/2018</v>
      </c>
      <c r="E113" s="23"/>
      <c r="F113" s="23" t="s">
        <v>136</v>
      </c>
      <c r="G113" s="43" t="s">
        <v>136</v>
      </c>
      <c r="H113" s="44"/>
      <c r="I113" s="44"/>
    </row>
    <row r="114" spans="1:9" s="3" customFormat="1">
      <c r="A114" s="41"/>
      <c r="B114" s="23" t="s">
        <v>155</v>
      </c>
      <c r="C114" s="42" t="str">
        <f>HYPERLINK("https://support.industry.siemens.com/cs/ww/en/view/109756109","RPC SINUMERIK")</f>
        <v>RPC SINUMERIK</v>
      </c>
      <c r="D114" s="23" t="str">
        <f>"02/2018"</f>
        <v>02/2018</v>
      </c>
      <c r="E114" s="23"/>
      <c r="F114" s="23" t="s">
        <v>136</v>
      </c>
      <c r="G114" s="43" t="s">
        <v>136</v>
      </c>
      <c r="H114" s="44"/>
      <c r="I114" s="44"/>
    </row>
    <row r="115" spans="1:9" s="3" customFormat="1">
      <c r="A115" s="41"/>
      <c r="B115" s="23" t="s">
        <v>135</v>
      </c>
      <c r="C115" s="42" t="str">
        <f>HYPERLINK("https://support.industry.siemens.com/cs/ww/en/view/109759302","SINUMERIK Integrate Create MyConfig - Diff, Expert, Topo")</f>
        <v>SINUMERIK Integrate Create MyConfig - Diff, Expert, Topo</v>
      </c>
      <c r="D115" s="23" t="str">
        <f>"06/2018"</f>
        <v>06/2018</v>
      </c>
      <c r="E115" s="23"/>
      <c r="F115" s="23" t="s">
        <v>136</v>
      </c>
      <c r="G115" s="43" t="s">
        <v>136</v>
      </c>
      <c r="H115" s="44"/>
      <c r="I115" s="44"/>
    </row>
    <row r="116" spans="1:9" s="3" customFormat="1" ht="30">
      <c r="A116" s="41"/>
      <c r="B116" s="23" t="s">
        <v>135</v>
      </c>
      <c r="C116" s="42" t="str">
        <f>HYPERLINK("https://support.industry.siemens.com/cs/ww/en/view/109760810","SINUMERIK 840D sl / 828D / 808D SINUMERIK Access MyMachine /P2P (PC)")</f>
        <v>SINUMERIK 840D sl / 828D / 808D SINUMERIK Access MyMachine /P2P (PC)</v>
      </c>
      <c r="D116" s="23" t="str">
        <f>"08/2018"</f>
        <v>08/2018</v>
      </c>
      <c r="E116" s="23"/>
      <c r="F116" s="23" t="s">
        <v>136</v>
      </c>
      <c r="G116" s="43" t="s">
        <v>136</v>
      </c>
      <c r="H116" s="44"/>
      <c r="I116" s="44"/>
    </row>
    <row r="117" spans="1:9" s="3" customFormat="1">
      <c r="A117" s="41"/>
      <c r="B117" s="23" t="s">
        <v>135</v>
      </c>
      <c r="C117" s="42" t="str">
        <f>HYPERLINK("https://support.industry.siemens.com/cs/ww/en/view/109760654","SINUMERIK Integrate MMP, MMT, AMC, AMP, AMM/E, AMD")</f>
        <v>SINUMERIK Integrate MMP, MMT, AMC, AMP, AMM/E, AMD</v>
      </c>
      <c r="D117" s="23" t="str">
        <f>"07/2018"</f>
        <v>07/2018</v>
      </c>
      <c r="E117" s="23"/>
      <c r="F117" s="23" t="s">
        <v>136</v>
      </c>
      <c r="G117" s="43" t="s">
        <v>136</v>
      </c>
      <c r="H117" s="44"/>
      <c r="I117" s="44"/>
    </row>
    <row r="118" spans="1:9" s="3" customFormat="1">
      <c r="A118" s="41"/>
      <c r="B118" s="23" t="s">
        <v>135</v>
      </c>
      <c r="C118" s="42" t="str">
        <f>HYPERLINK("https://support.industry.siemens.com/cs/ww/en/view/109752344","SINUMERIK Integrate Create MyConfig - EPLAN Electric P8 Add-In")</f>
        <v>SINUMERIK Integrate Create MyConfig - EPLAN Electric P8 Add-In</v>
      </c>
      <c r="D118" s="23" t="str">
        <f>"12/2017"</f>
        <v>12/2017</v>
      </c>
      <c r="E118" s="23"/>
      <c r="F118" s="23" t="s">
        <v>136</v>
      </c>
      <c r="G118" s="43" t="s">
        <v>136</v>
      </c>
      <c r="H118" s="44"/>
      <c r="I118" s="44"/>
    </row>
    <row r="119" spans="1:9" s="3" customFormat="1" ht="30">
      <c r="A119" s="41"/>
      <c r="B119" s="23" t="s">
        <v>167</v>
      </c>
      <c r="C119" s="42" t="str">
        <f>HYPERLINK("https://support.industry.siemens.com/cs/ww/en/view/109762013","MindApp Analyze MyPerformance /OEE-Monitor - Function Manual - October 2018")</f>
        <v>MindApp Analyze MyPerformance /OEE-Monitor - Function Manual - October 2018</v>
      </c>
      <c r="D119" s="23" t="str">
        <f>"10/2018"</f>
        <v>10/2018</v>
      </c>
      <c r="E119" s="23"/>
      <c r="F119" s="23" t="s">
        <v>136</v>
      </c>
      <c r="G119" s="43" t="s">
        <v>136</v>
      </c>
      <c r="H119" s="44"/>
      <c r="I119" s="44"/>
    </row>
    <row r="120" spans="1:9" s="3" customFormat="1">
      <c r="A120" s="41"/>
      <c r="B120" s="23" t="s">
        <v>135</v>
      </c>
      <c r="C120" s="42" t="str">
        <f>HYPERLINK("https://support.industry.siemens.com/cs/ww/en/view/109760652","SINUMERIK Integrate Shop Floor Integrate (SFI)")</f>
        <v>SINUMERIK Integrate Shop Floor Integrate (SFI)</v>
      </c>
      <c r="D120" s="23" t="str">
        <f>"07/2018"</f>
        <v>07/2018</v>
      </c>
      <c r="E120" s="23"/>
      <c r="F120" s="23" t="s">
        <v>136</v>
      </c>
      <c r="G120" s="43" t="s">
        <v>136</v>
      </c>
      <c r="H120" s="44"/>
      <c r="I120" s="44"/>
    </row>
    <row r="121" spans="1:9" s="3" customFormat="1">
      <c r="A121" s="41"/>
      <c r="B121" s="23" t="s">
        <v>135</v>
      </c>
      <c r="C121" s="42" t="str">
        <f>HYPERLINK("https://support.industry.siemens.com/cs/ww/en/view/109762630","Manage MyResources (MMR)")</f>
        <v>Manage MyResources (MMR)</v>
      </c>
      <c r="D121" s="23" t="str">
        <f>"11/2018"</f>
        <v>11/2018</v>
      </c>
      <c r="E121" s="23"/>
      <c r="F121" s="23" t="s">
        <v>136</v>
      </c>
      <c r="G121" s="43" t="s">
        <v>136</v>
      </c>
      <c r="H121" s="44"/>
      <c r="I121" s="44"/>
    </row>
    <row r="122" spans="1:9" s="3" customFormat="1">
      <c r="A122" s="41"/>
      <c r="B122" s="23" t="s">
        <v>135</v>
      </c>
      <c r="C122" s="42" t="str">
        <f>HYPERLINK("https://support.industry.siemens.com/cs/ww/en/view/109762634","Optimize MyProgramming / NX CAM Editor")</f>
        <v>Optimize MyProgramming / NX CAM Editor</v>
      </c>
      <c r="D122" s="23" t="str">
        <f>"11/2018"</f>
        <v>11/2018</v>
      </c>
      <c r="E122" s="23"/>
      <c r="F122" s="23" t="s">
        <v>136</v>
      </c>
      <c r="G122" s="43" t="s">
        <v>136</v>
      </c>
      <c r="H122" s="44"/>
      <c r="I122" s="44"/>
    </row>
    <row r="123" spans="1:9" s="3" customFormat="1">
      <c r="A123" s="41"/>
      <c r="B123" s="23" t="s">
        <v>167</v>
      </c>
      <c r="C123" s="42" t="str">
        <f>HYPERLINK("https://support.industry.siemens.com/cs/ww/en/view/109759391","MindApp Manage MyMachines - Function Manual - July 2018")</f>
        <v>MindApp Manage MyMachines - Function Manual - July 2018</v>
      </c>
      <c r="D123" s="23" t="str">
        <f>"07/2018"</f>
        <v>07/2018</v>
      </c>
      <c r="E123" s="23"/>
      <c r="F123" s="23" t="s">
        <v>136</v>
      </c>
      <c r="G123" s="43" t="s">
        <v>136</v>
      </c>
      <c r="H123" s="44"/>
      <c r="I123" s="44"/>
    </row>
    <row r="124" spans="1:9" s="3" customFormat="1">
      <c r="A124" s="41"/>
      <c r="B124" s="23" t="s">
        <v>167</v>
      </c>
      <c r="C124" s="42" t="str">
        <f>HYPERLINK("https://support.industry.siemens.com/cs/ww/en/view/109747320","MindApp Manage MyMachines - Function Manual - June 2018")</f>
        <v>MindApp Manage MyMachines - Function Manual - June 2018</v>
      </c>
      <c r="D124" s="23" t="str">
        <f>"06/2018"</f>
        <v>06/2018</v>
      </c>
      <c r="E124" s="23"/>
      <c r="F124" s="23" t="s">
        <v>136</v>
      </c>
      <c r="G124" s="43" t="s">
        <v>136</v>
      </c>
      <c r="H124" s="44"/>
      <c r="I124" s="44"/>
    </row>
    <row r="125" spans="1:9" s="3" customFormat="1" ht="30">
      <c r="A125" s="41"/>
      <c r="B125" s="23" t="s">
        <v>167</v>
      </c>
      <c r="C125" s="42" t="str">
        <f>HYPERLINK("https://support.industry.siemens.com/cs/ww/en/view/109759394","MindApp Manage MyMachines/Remote - Function Manual - October 2018")</f>
        <v>MindApp Manage MyMachines/Remote - Function Manual - October 2018</v>
      </c>
      <c r="D125" s="23" t="str">
        <f>"10/2018"</f>
        <v>10/2018</v>
      </c>
      <c r="E125" s="23"/>
      <c r="F125" s="23" t="s">
        <v>136</v>
      </c>
      <c r="G125" s="43" t="s">
        <v>136</v>
      </c>
      <c r="H125" s="44"/>
      <c r="I125" s="44"/>
    </row>
    <row r="126" spans="1:9" s="3" customFormat="1">
      <c r="A126" s="41"/>
      <c r="B126" s="23" t="s">
        <v>167</v>
      </c>
      <c r="C126" s="42" t="str">
        <f>HYPERLINK("https://support.industry.siemens.com/cs/ww/en/view/109760656","SINUMERIK Integrate Analyze MyCondition (AMC)")</f>
        <v>SINUMERIK Integrate Analyze MyCondition (AMC)</v>
      </c>
      <c r="D126" s="23" t="str">
        <f>"07/2018"</f>
        <v>07/2018</v>
      </c>
      <c r="E126" s="23"/>
      <c r="F126" s="23" t="s">
        <v>136</v>
      </c>
      <c r="G126" s="43" t="s">
        <v>136</v>
      </c>
      <c r="H126" s="44"/>
      <c r="I126" s="44"/>
    </row>
    <row r="127" spans="1:9" s="3" customFormat="1">
      <c r="A127" s="41"/>
      <c r="B127" s="23" t="s">
        <v>167</v>
      </c>
      <c r="C127" s="42" t="str">
        <f>HYPERLINK("https://support.industry.siemens.com/cs/ww/en/view/109760655","SINUMERIK Integrate Access MyData (AMD)")</f>
        <v>SINUMERIK Integrate Access MyData (AMD)</v>
      </c>
      <c r="D127" s="23" t="str">
        <f>"07/2018"</f>
        <v>07/2018</v>
      </c>
      <c r="E127" s="23"/>
      <c r="F127" s="23" t="s">
        <v>136</v>
      </c>
      <c r="G127" s="43" t="s">
        <v>136</v>
      </c>
      <c r="H127" s="44"/>
      <c r="I127" s="44"/>
    </row>
    <row r="128" spans="1:9" s="3" customFormat="1">
      <c r="A128" s="41"/>
      <c r="B128" s="23" t="s">
        <v>246</v>
      </c>
      <c r="C128" s="42" t="str">
        <f>HYPERLINK("https://support.industry.siemens.com/cs/ww/en/view/109760653","SINUMERIK Integrate MMP, MMT, AMC, AMP, AMM/E, AMD")</f>
        <v>SINUMERIK Integrate MMP, MMT, AMC, AMP, AMM/E, AMD</v>
      </c>
      <c r="D128" s="23" t="str">
        <f>"07/2018"</f>
        <v>07/2018</v>
      </c>
      <c r="E128" s="23"/>
      <c r="F128" s="23" t="s">
        <v>136</v>
      </c>
      <c r="G128" s="43" t="s">
        <v>136</v>
      </c>
      <c r="H128" s="44"/>
      <c r="I128" s="44"/>
    </row>
    <row r="129" spans="1:10" s="3" customFormat="1">
      <c r="A129" s="41"/>
      <c r="B129" s="23" t="s">
        <v>246</v>
      </c>
      <c r="C129" s="42" t="str">
        <f>HYPERLINK("https://support.industry.siemens.com/cs/ww/en/view/109760651","SINUMERIK Integrate Shop Floor Integrate (SFI)")</f>
        <v>SINUMERIK Integrate Shop Floor Integrate (SFI)</v>
      </c>
      <c r="D129" s="23" t="str">
        <f>"07/2018"</f>
        <v>07/2018</v>
      </c>
      <c r="E129" s="23"/>
      <c r="F129" s="23" t="s">
        <v>136</v>
      </c>
      <c r="G129" s="43" t="s">
        <v>136</v>
      </c>
      <c r="H129" s="44"/>
      <c r="I129" s="44"/>
    </row>
    <row r="130" spans="1:10" s="3" customFormat="1">
      <c r="A130" s="41"/>
      <c r="B130" s="23" t="s">
        <v>246</v>
      </c>
      <c r="C130" s="42" t="str">
        <f>HYPERLINK("https://support.industry.siemens.com/cs/ww/en/view/109762628","Manage MyResources (MMR)")</f>
        <v>Manage MyResources (MMR)</v>
      </c>
      <c r="D130" s="23" t="str">
        <f>"11/2018"</f>
        <v>11/2018</v>
      </c>
      <c r="E130" s="23"/>
      <c r="F130" s="23" t="s">
        <v>136</v>
      </c>
      <c r="G130" s="43" t="s">
        <v>136</v>
      </c>
      <c r="H130" s="44"/>
      <c r="I130" s="44"/>
    </row>
    <row r="131" spans="1:10" s="3" customFormat="1">
      <c r="A131" s="41"/>
      <c r="B131" s="23" t="s">
        <v>246</v>
      </c>
      <c r="C131" s="42" t="str">
        <f>HYPERLINK("https://support.industry.siemens.com/cs/ww/en/view/109762633","Optimize MyProgramming / NX CAM Editor")</f>
        <v>Optimize MyProgramming / NX CAM Editor</v>
      </c>
      <c r="D131" s="23" t="str">
        <f>"11/2018"</f>
        <v>11/2018</v>
      </c>
      <c r="E131" s="23"/>
      <c r="F131" s="23" t="s">
        <v>136</v>
      </c>
      <c r="G131" s="43" t="s">
        <v>136</v>
      </c>
      <c r="H131" s="44"/>
      <c r="I131" s="44"/>
    </row>
    <row r="132" spans="1:10" s="3" customFormat="1" ht="30">
      <c r="A132" s="41"/>
      <c r="B132" s="23" t="s">
        <v>247</v>
      </c>
      <c r="C132" s="42" t="str">
        <f>HYPERLINK("https://support.industry.siemens.com/cs/ww/en/view/109755732","MindApp Manage MyMachines powerline - Application examples - July 2018")</f>
        <v>MindApp Manage MyMachines powerline - Application examples - July 2018</v>
      </c>
      <c r="D132" s="23" t="str">
        <f>"07/2018"</f>
        <v>07/2018</v>
      </c>
      <c r="E132" s="23"/>
      <c r="F132" s="23" t="s">
        <v>136</v>
      </c>
      <c r="G132" s="43" t="s">
        <v>136</v>
      </c>
      <c r="H132" s="44"/>
      <c r="I132" s="44"/>
    </row>
    <row r="133" spans="1:10" s="3" customFormat="1" ht="30">
      <c r="A133" s="41"/>
      <c r="B133" s="23" t="s">
        <v>247</v>
      </c>
      <c r="C133" s="42" t="str">
        <f>HYPERLINK("https://support.industry.siemens.com/cs/ww/en/view/109759396","MindApp Manage MyMachines /Remote - Application Examples - October 2018")</f>
        <v>MindApp Manage MyMachines /Remote - Application Examples - October 2018</v>
      </c>
      <c r="D133" s="23" t="str">
        <f>"10/2018"</f>
        <v>10/2018</v>
      </c>
      <c r="E133" s="23"/>
      <c r="F133" s="23" t="s">
        <v>136</v>
      </c>
      <c r="G133" s="43" t="s">
        <v>136</v>
      </c>
      <c r="H133" s="44"/>
      <c r="I133" s="44"/>
    </row>
    <row r="134" spans="1:10">
      <c r="A134" s="32" t="s">
        <v>248</v>
      </c>
      <c r="B134" s="33"/>
      <c r="C134" s="34"/>
      <c r="D134" s="33"/>
      <c r="E134" s="33"/>
      <c r="F134" s="35"/>
      <c r="G134" s="36"/>
      <c r="H134" s="50"/>
      <c r="I134" s="23"/>
      <c r="J134" s="2"/>
    </row>
    <row r="135" spans="1:10" s="3" customFormat="1">
      <c r="A135" s="41"/>
      <c r="B135" s="23" t="s">
        <v>150</v>
      </c>
      <c r="C135" s="42" t="str">
        <f>HYPERLINK("https://support.industry.siemens.com/cs/ww/en/view/109763283","SINAMICS S120 booksize C/D-type power units")</f>
        <v>SINAMICS S120 booksize C/D-type power units</v>
      </c>
      <c r="D135" s="23" t="str">
        <f>"12/2018"</f>
        <v>12/2018</v>
      </c>
      <c r="E135" s="23" t="s">
        <v>249</v>
      </c>
      <c r="F135" s="23" t="s">
        <v>136</v>
      </c>
      <c r="G135" s="43" t="s">
        <v>136</v>
      </c>
      <c r="H135" s="44"/>
      <c r="I135" s="44"/>
    </row>
    <row r="136" spans="1:10" s="3" customFormat="1">
      <c r="A136" s="41"/>
      <c r="B136" s="23" t="s">
        <v>150</v>
      </c>
      <c r="C136" s="42" t="str">
        <f>HYPERLINK("https://support.industry.siemens.com/cs/ww/en/view/109763286","SINAMICS S120 Control Units and Additional System Components ")</f>
        <v xml:space="preserve">SINAMICS S120 Control Units and Additional System Components </v>
      </c>
      <c r="D136" s="23" t="str">
        <f>"12/2018"</f>
        <v>12/2018</v>
      </c>
      <c r="E136" s="23" t="s">
        <v>250</v>
      </c>
      <c r="F136" s="23" t="s">
        <v>136</v>
      </c>
      <c r="G136" s="43" t="s">
        <v>136</v>
      </c>
      <c r="H136" s="44"/>
      <c r="I136" s="44"/>
    </row>
    <row r="137" spans="1:10" s="3" customFormat="1">
      <c r="A137" s="41"/>
      <c r="B137" s="23" t="s">
        <v>150</v>
      </c>
      <c r="C137" s="42" t="str">
        <f>HYPERLINK("https://support.industry.siemens.com/cs/ww/en/view/109763282","SINAMICS S120 booksize power units")</f>
        <v>SINAMICS S120 booksize power units</v>
      </c>
      <c r="D137" s="23" t="str">
        <f>"12/2018"</f>
        <v>12/2018</v>
      </c>
      <c r="E137" s="23" t="s">
        <v>251</v>
      </c>
      <c r="F137" s="23" t="s">
        <v>136</v>
      </c>
      <c r="G137" s="43" t="s">
        <v>136</v>
      </c>
      <c r="H137" s="44"/>
      <c r="I137" s="44"/>
    </row>
    <row r="138" spans="1:10" s="3" customFormat="1">
      <c r="A138" s="41"/>
      <c r="B138" s="23" t="s">
        <v>150</v>
      </c>
      <c r="C138" s="42" t="str">
        <f>HYPERLINK("https://support.industry.siemens.com/cs/ww/en/view/109757057","SINAMICS S120 AC Drive")</f>
        <v>SINAMICS S120 AC Drive</v>
      </c>
      <c r="D138" s="23" t="str">
        <f>"02/2018"</f>
        <v>02/2018</v>
      </c>
      <c r="E138" s="23" t="s">
        <v>252</v>
      </c>
      <c r="F138" s="23" t="s">
        <v>136</v>
      </c>
      <c r="G138" s="43" t="s">
        <v>136</v>
      </c>
      <c r="H138" s="44"/>
      <c r="I138" s="44"/>
    </row>
    <row r="139" spans="1:10" s="3" customFormat="1">
      <c r="A139" s="41"/>
      <c r="B139" s="23" t="s">
        <v>150</v>
      </c>
      <c r="C139" s="42" t="str">
        <f>HYPERLINK("https://support.industry.siemens.com/cs/ww/en/view/109758785","SINAMICS S120 Combi")</f>
        <v>SINAMICS S120 Combi</v>
      </c>
      <c r="D139" s="23" t="str">
        <f>"05/2018"</f>
        <v>05/2018</v>
      </c>
      <c r="E139" s="23" t="s">
        <v>253</v>
      </c>
      <c r="F139" s="23" t="s">
        <v>136</v>
      </c>
      <c r="G139" s="43" t="s">
        <v>136</v>
      </c>
      <c r="H139" s="44"/>
      <c r="I139" s="44"/>
    </row>
    <row r="140" spans="1:10" s="3" customFormat="1">
      <c r="A140" s="41"/>
      <c r="B140" s="23" t="s">
        <v>150</v>
      </c>
      <c r="C140" s="42" t="str">
        <f>HYPERLINK("https://support.industry.siemens.com/cs/ww/en/view/109754207","SINAMICS S120 air-cooled chassis power units")</f>
        <v>SINAMICS S120 air-cooled chassis power units</v>
      </c>
      <c r="D140" s="23" t="str">
        <f>"11/2017"</f>
        <v>11/2017</v>
      </c>
      <c r="E140" s="23" t="s">
        <v>254</v>
      </c>
      <c r="F140" s="23" t="s">
        <v>136</v>
      </c>
      <c r="G140" s="43" t="s">
        <v>136</v>
      </c>
      <c r="H140" s="44"/>
      <c r="I140" s="44"/>
    </row>
    <row r="141" spans="1:10" s="3" customFormat="1">
      <c r="A141" s="41"/>
      <c r="B141" s="23" t="s">
        <v>150</v>
      </c>
      <c r="C141" s="42" t="str">
        <f>HYPERLINK("https://support.industry.siemens.com/cs/ww/en/view/109763295","SINAMICS S120M Manual Distributed Drive Technology")</f>
        <v>SINAMICS S120M Manual Distributed Drive Technology</v>
      </c>
      <c r="D141" s="23" t="str">
        <f>"12/2018"</f>
        <v>12/2018</v>
      </c>
      <c r="E141" s="23" t="s">
        <v>255</v>
      </c>
      <c r="F141" s="23" t="s">
        <v>136</v>
      </c>
      <c r="G141" s="43" t="s">
        <v>136</v>
      </c>
      <c r="H141" s="44"/>
      <c r="I141" s="44"/>
    </row>
    <row r="142" spans="1:10" s="3" customFormat="1">
      <c r="A142" s="41"/>
      <c r="B142" s="23" t="s">
        <v>137</v>
      </c>
      <c r="C142" s="42" t="str">
        <f>HYPERLINK("https://support.industry.siemens.com/cs/ww/en/view/109740024","SINAMICS S120 Hydraulic Drive")</f>
        <v>SINAMICS S120 Hydraulic Drive</v>
      </c>
      <c r="D142" s="23" t="str">
        <f>"07/2016"</f>
        <v>07/2016</v>
      </c>
      <c r="E142" s="23" t="s">
        <v>256</v>
      </c>
      <c r="F142" s="23" t="s">
        <v>136</v>
      </c>
      <c r="G142" s="43" t="s">
        <v>136</v>
      </c>
      <c r="H142" s="44"/>
      <c r="I142" s="44"/>
    </row>
    <row r="143" spans="1:10" s="3" customFormat="1">
      <c r="A143" s="41"/>
      <c r="B143" s="23" t="s">
        <v>137</v>
      </c>
      <c r="C143" s="42" t="str">
        <f>HYPERLINK("https://support.industry.siemens.com/cs/ww/en/view/109479610","SINAMICS S120 High Frequency Drive")</f>
        <v>SINAMICS S120 High Frequency Drive</v>
      </c>
      <c r="D143" s="23" t="str">
        <f>"04/2015"</f>
        <v>04/2015</v>
      </c>
      <c r="E143" s="23" t="s">
        <v>257</v>
      </c>
      <c r="F143" s="23" t="s">
        <v>136</v>
      </c>
      <c r="G143" s="43" t="s">
        <v>136</v>
      </c>
      <c r="H143" s="44"/>
      <c r="I143" s="44"/>
    </row>
    <row r="144" spans="1:10" s="3" customFormat="1">
      <c r="A144" s="41"/>
      <c r="B144" s="23" t="s">
        <v>137</v>
      </c>
      <c r="C144" s="42" t="str">
        <f>HYPERLINK("https://support.industry.siemens.com/cs/ww/en/view/29217967","SINAMICS S120 Booksize SIMODRIVE Cabinet integration")</f>
        <v>SINAMICS S120 Booksize SIMODRIVE Cabinet integration</v>
      </c>
      <c r="D144" s="23" t="str">
        <f>"09/2007"</f>
        <v>09/2007</v>
      </c>
      <c r="E144" s="23" t="s">
        <v>258</v>
      </c>
      <c r="F144" s="23" t="s">
        <v>136</v>
      </c>
      <c r="G144" s="43" t="s">
        <v>136</v>
      </c>
      <c r="H144" s="44"/>
      <c r="I144" s="44"/>
    </row>
    <row r="145" spans="1:10" s="3" customFormat="1">
      <c r="A145" s="41"/>
      <c r="B145" s="23" t="s">
        <v>137</v>
      </c>
      <c r="C145" s="42" t="str">
        <f>HYPERLINK("https://support.industry.siemens.com/cs/ww/en/view/109760445","SINAMICS S120 Requirements placed on third-party motors")</f>
        <v>SINAMICS S120 Requirements placed on third-party motors</v>
      </c>
      <c r="D145" s="23" t="str">
        <f>"05/2013"</f>
        <v>05/2013</v>
      </c>
      <c r="E145" s="23"/>
      <c r="F145" s="23" t="s">
        <v>136</v>
      </c>
      <c r="G145" s="43" t="s">
        <v>136</v>
      </c>
      <c r="H145" s="44"/>
      <c r="I145" s="44"/>
    </row>
    <row r="146" spans="1:10" s="3" customFormat="1">
      <c r="A146" s="41"/>
      <c r="B146" s="23" t="s">
        <v>160</v>
      </c>
      <c r="C146" s="42" t="str">
        <f>HYPERLINK("https://support.industry.siemens.com/cs/ww/en/view/109754313","SINAMICS S120 Commissioning Manual with STARTER")</f>
        <v>SINAMICS S120 Commissioning Manual with STARTER</v>
      </c>
      <c r="D146" s="23" t="str">
        <f>"11/2017"</f>
        <v>11/2017</v>
      </c>
      <c r="E146" s="23" t="s">
        <v>259</v>
      </c>
      <c r="F146" s="23" t="s">
        <v>136</v>
      </c>
      <c r="G146" s="43" t="s">
        <v>136</v>
      </c>
      <c r="H146" s="44"/>
      <c r="I146" s="44"/>
    </row>
    <row r="147" spans="1:10" s="3" customFormat="1">
      <c r="A147" s="41"/>
      <c r="B147" s="23" t="s">
        <v>165</v>
      </c>
      <c r="C147" s="42" t="str">
        <f>HYPERLINK("https://support.industry.siemens.com/cs/ww/en/view/109760366","SINAMICS S120/S150")</f>
        <v>SINAMICS S120/S150</v>
      </c>
      <c r="D147" s="23" t="str">
        <f>"07/2018"</f>
        <v>07/2018</v>
      </c>
      <c r="E147" s="23" t="s">
        <v>260</v>
      </c>
      <c r="F147" s="23" t="s">
        <v>136</v>
      </c>
      <c r="G147" s="43" t="s">
        <v>136</v>
      </c>
      <c r="H147" s="44"/>
      <c r="I147" s="44"/>
    </row>
    <row r="148" spans="1:10" s="3" customFormat="1">
      <c r="A148" s="41"/>
      <c r="B148" s="23" t="s">
        <v>203</v>
      </c>
      <c r="C148" s="42" t="str">
        <f>HYPERLINK("https://support.industry.siemens.com/cs/ww/en/view/109754314","SINAMICS S120 Getting Started with STARTER")</f>
        <v>SINAMICS S120 Getting Started with STARTER</v>
      </c>
      <c r="D148" s="23" t="str">
        <f>"11/2017"</f>
        <v>11/2017</v>
      </c>
      <c r="E148" s="23" t="s">
        <v>261</v>
      </c>
      <c r="F148" s="23" t="s">
        <v>136</v>
      </c>
      <c r="G148" s="43" t="s">
        <v>136</v>
      </c>
      <c r="H148" s="44"/>
      <c r="I148" s="44"/>
    </row>
    <row r="149" spans="1:10" s="3" customFormat="1">
      <c r="A149" s="41"/>
      <c r="B149" s="23" t="s">
        <v>167</v>
      </c>
      <c r="C149" s="42" t="str">
        <f>HYPERLINK("https://support.industry.siemens.com/cs/ww/en/view/109757573","SINAMICS S120 Function Manual Drive Functions in STARTER")</f>
        <v>SINAMICS S120 Function Manual Drive Functions in STARTER</v>
      </c>
      <c r="D149" s="23" t="str">
        <f>"07/2018"</f>
        <v>07/2018</v>
      </c>
      <c r="E149" s="23" t="s">
        <v>262</v>
      </c>
      <c r="F149" s="23" t="s">
        <v>136</v>
      </c>
      <c r="G149" s="43" t="s">
        <v>136</v>
      </c>
      <c r="H149" s="44"/>
      <c r="I149" s="44"/>
    </row>
    <row r="150" spans="1:10" s="3" customFormat="1">
      <c r="A150" s="41"/>
      <c r="B150" s="23" t="s">
        <v>167</v>
      </c>
      <c r="C150" s="42" t="str">
        <f>HYPERLINK("https://support.industry.siemens.com/cs/ww/en/view/109760403","SINAMICS S120 Safety Integrated Function Manual")</f>
        <v>SINAMICS S120 Safety Integrated Function Manual</v>
      </c>
      <c r="D150" s="23" t="str">
        <f>"07/2018"</f>
        <v>07/2018</v>
      </c>
      <c r="E150" s="23" t="s">
        <v>243</v>
      </c>
      <c r="F150" s="23" t="s">
        <v>136</v>
      </c>
      <c r="G150" s="43" t="s">
        <v>136</v>
      </c>
      <c r="H150" s="44"/>
      <c r="I150" s="44"/>
    </row>
    <row r="151" spans="1:10" s="3" customFormat="1">
      <c r="A151" s="41"/>
      <c r="B151" s="23" t="s">
        <v>167</v>
      </c>
      <c r="C151" s="42" t="str">
        <f>HYPERLINK("https://support.industry.siemens.com/cs/ww/en/view/109760408","SINAMICS Technology Extensions Installation description")</f>
        <v>SINAMICS Technology Extensions Installation description</v>
      </c>
      <c r="D151" s="23" t="str">
        <f>"08/2018"</f>
        <v>08/2018</v>
      </c>
      <c r="E151" s="23"/>
      <c r="F151" s="23" t="s">
        <v>136</v>
      </c>
      <c r="G151" s="43" t="s">
        <v>136</v>
      </c>
      <c r="H151" s="44"/>
      <c r="I151" s="44"/>
    </row>
    <row r="152" spans="1:10" s="3" customFormat="1" ht="30">
      <c r="A152" s="41"/>
      <c r="B152" s="23" t="s">
        <v>167</v>
      </c>
      <c r="C152" s="42" t="str">
        <f>HYPERLINK("https://support.industry.siemens.com/cs/ww/en/view/109758101","SINAMICS Technology Extension: POLYGON Master-value-dependent characteristic functionality")</f>
        <v>SINAMICS Technology Extension: POLYGON Master-value-dependent characteristic functionality</v>
      </c>
      <c r="D152" s="23" t="str">
        <f>"10/2015"</f>
        <v>10/2015</v>
      </c>
      <c r="E152" s="23"/>
      <c r="F152" s="23" t="s">
        <v>136</v>
      </c>
      <c r="G152" s="43" t="s">
        <v>136</v>
      </c>
      <c r="H152" s="44"/>
      <c r="I152" s="44"/>
    </row>
    <row r="153" spans="1:10" s="3" customFormat="1">
      <c r="A153" s="41"/>
      <c r="B153" s="23" t="s">
        <v>167</v>
      </c>
      <c r="C153" s="42" t="str">
        <f>HYPERLINK("https://support.industry.siemens.com/cs/ww/en/view/109758102","SINAMICS Technology Extension: VIBX (Vibration Extinction)")</f>
        <v>SINAMICS Technology Extension: VIBX (Vibration Extinction)</v>
      </c>
      <c r="D153" s="23" t="str">
        <f>"07/2016"</f>
        <v>07/2016</v>
      </c>
      <c r="E153" s="23"/>
      <c r="F153" s="23" t="s">
        <v>136</v>
      </c>
      <c r="G153" s="43" t="s">
        <v>136</v>
      </c>
      <c r="H153" s="44"/>
      <c r="I153" s="44"/>
    </row>
    <row r="154" spans="1:10" s="3" customFormat="1">
      <c r="A154" s="41"/>
      <c r="B154" s="23" t="s">
        <v>167</v>
      </c>
      <c r="C154" s="42" t="str">
        <f>HYPERLINK("https://support.industry.siemens.com/cs/ww/en/view/109760362","SINAMICS Technology Extension: SERVCOUP (Servo Coupling)")</f>
        <v>SINAMICS Technology Extension: SERVCOUP (Servo Coupling)</v>
      </c>
      <c r="D154" s="23" t="str">
        <f>"07/2018"</f>
        <v>07/2018</v>
      </c>
      <c r="E154" s="23"/>
      <c r="F154" s="23" t="s">
        <v>136</v>
      </c>
      <c r="G154" s="43" t="s">
        <v>136</v>
      </c>
      <c r="H154" s="44"/>
      <c r="I154" s="44"/>
    </row>
    <row r="155" spans="1:10" s="3" customFormat="1">
      <c r="A155" s="41"/>
      <c r="B155" s="23" t="s">
        <v>167</v>
      </c>
      <c r="C155" s="42" t="str">
        <f>HYPERLINK("https://support.industry.siemens.com/cs/ww/en/view/109758103","SINAMICS Technology Extension: DCDCCONV (DC-DC Converter)")</f>
        <v>SINAMICS Technology Extension: DCDCCONV (DC-DC Converter)</v>
      </c>
      <c r="D155" s="23" t="str">
        <f>"04/2018"</f>
        <v>04/2018</v>
      </c>
      <c r="E155" s="23"/>
      <c r="F155" s="23" t="s">
        <v>136</v>
      </c>
      <c r="G155" s="43" t="s">
        <v>136</v>
      </c>
      <c r="H155" s="44"/>
      <c r="I155" s="44"/>
    </row>
    <row r="156" spans="1:10" s="3" customFormat="1">
      <c r="A156" s="41"/>
      <c r="B156" s="23" t="s">
        <v>167</v>
      </c>
      <c r="C156" s="42" t="str">
        <f>HYPERLINK("https://support.industry.siemens.com/cs/ww/en/view/109762486","SINAMICS Technology Extension ROTDTEC")</f>
        <v>SINAMICS Technology Extension ROTDTEC</v>
      </c>
      <c r="D156" s="23" t="str">
        <f>"10/2018"</f>
        <v>10/2018</v>
      </c>
      <c r="E156" s="23" t="s">
        <v>263</v>
      </c>
      <c r="F156" s="23" t="s">
        <v>136</v>
      </c>
      <c r="G156" s="43" t="s">
        <v>136</v>
      </c>
      <c r="H156" s="44"/>
      <c r="I156" s="44"/>
    </row>
    <row r="157" spans="1:10">
      <c r="A157" s="32" t="s">
        <v>264</v>
      </c>
      <c r="B157" s="33"/>
      <c r="C157" s="34"/>
      <c r="D157" s="33"/>
      <c r="E157" s="33"/>
      <c r="F157" s="35"/>
      <c r="G157" s="36"/>
      <c r="H157" s="46"/>
      <c r="I157" s="23"/>
      <c r="J157" s="2"/>
    </row>
    <row r="158" spans="1:10" s="3" customFormat="1">
      <c r="A158" s="41"/>
      <c r="B158" s="23" t="s">
        <v>143</v>
      </c>
      <c r="C158" s="42" t="str">
        <f>HYPERLINK("https://support.industry.siemens.com/cs/ww/en/view/57250336","Absolute Value Encoder with PROFIBUS-DP")</f>
        <v>Absolute Value Encoder with PROFIBUS-DP</v>
      </c>
      <c r="D158" s="23" t="str">
        <f>"07/2005"</f>
        <v>07/2005</v>
      </c>
      <c r="E158" s="23" t="s">
        <v>265</v>
      </c>
      <c r="F158" s="23" t="s">
        <v>136</v>
      </c>
      <c r="G158" s="43" t="s">
        <v>136</v>
      </c>
      <c r="H158" s="44"/>
      <c r="I158" s="44"/>
    </row>
    <row r="159" spans="1:10" s="3" customFormat="1">
      <c r="A159" s="41"/>
      <c r="B159" s="23" t="s">
        <v>135</v>
      </c>
      <c r="C159" s="42" t="str">
        <f>HYPERLINK("https://support.industry.siemens.com/cs/ww/en/view/103472305","Absolute Value Encoder with PROFIBUS-DP FS 17 (or higher)")</f>
        <v>Absolute Value Encoder with PROFIBUS-DP FS 17 (or higher)</v>
      </c>
      <c r="D159" s="23" t="str">
        <f>"08/2014"</f>
        <v>08/2014</v>
      </c>
      <c r="E159" s="23" t="s">
        <v>266</v>
      </c>
      <c r="F159" s="23" t="s">
        <v>136</v>
      </c>
      <c r="G159" s="43" t="s">
        <v>136</v>
      </c>
      <c r="H159" s="44"/>
      <c r="I159" s="44"/>
    </row>
    <row r="160" spans="1:10" s="3" customFormat="1">
      <c r="A160" s="41"/>
      <c r="B160" s="23" t="s">
        <v>155</v>
      </c>
      <c r="C160" s="42" t="str">
        <f>HYPERLINK("https://support.industry.siemens.com/cs/ww/en/view/57219323","SIMAG H2 Hollow-Shaft Measuring System")</f>
        <v>SIMAG H2 Hollow-Shaft Measuring System</v>
      </c>
      <c r="D160" s="23" t="str">
        <f>"01/2011"</f>
        <v>01/2011</v>
      </c>
      <c r="E160" s="23" t="s">
        <v>267</v>
      </c>
      <c r="F160" s="23" t="s">
        <v>136</v>
      </c>
      <c r="G160" s="43" t="s">
        <v>136</v>
      </c>
      <c r="H160" s="44"/>
      <c r="I160" s="44"/>
    </row>
    <row r="161" spans="1:10" s="3" customFormat="1" ht="30">
      <c r="A161" s="41"/>
      <c r="B161" s="23" t="s">
        <v>268</v>
      </c>
      <c r="C161" s="42" t="str">
        <f>HYPERLINK("https://support.industry.siemens.com/cs/ww/en/view/57245645","Gebersysteme, Encoder systems ERN 1387. . . / S21 / EQN 1325. . .")</f>
        <v>Gebersysteme, Encoder systems ERN 1387. . . / S21 / EQN 1325. . .</v>
      </c>
      <c r="D161" s="23" t="str">
        <f>"01/2005"</f>
        <v>01/2005</v>
      </c>
      <c r="E161" s="23"/>
      <c r="F161" s="23" t="s">
        <v>136</v>
      </c>
      <c r="G161" s="43" t="s">
        <v>136</v>
      </c>
      <c r="H161" s="44"/>
      <c r="I161" s="44"/>
    </row>
    <row r="162" spans="1:10" s="3" customFormat="1" ht="30">
      <c r="A162" s="41"/>
      <c r="B162" s="23" t="s">
        <v>268</v>
      </c>
      <c r="C162" s="42" t="str">
        <f>HYPERLINK("https://support.industry.siemens.com/cs/ww/en/view/57245364","Gebersystem, Encoder system ERN 1381.001")</f>
        <v>Gebersystem, Encoder system ERN 1381.001</v>
      </c>
      <c r="D162" s="23" t="str">
        <f>"06/2003"</f>
        <v>06/2003</v>
      </c>
      <c r="E162" s="23"/>
      <c r="F162" s="23" t="s">
        <v>136</v>
      </c>
      <c r="G162" s="43" t="s">
        <v>136</v>
      </c>
      <c r="H162" s="44"/>
      <c r="I162" s="44"/>
    </row>
    <row r="163" spans="1:10" s="3" customFormat="1">
      <c r="A163" s="41"/>
      <c r="B163" s="23" t="s">
        <v>269</v>
      </c>
      <c r="C163" s="42" t="str">
        <f>HYPERLINK("https://support.industry.siemens.com/cs/ww/en/view/57249405","Measuring systems, Motion Control Encoder, TTL, HTL, 1 Vpp")</f>
        <v>Measuring systems, Motion Control Encoder, TTL, HTL, 1 Vpp</v>
      </c>
      <c r="D163" s="23" t="str">
        <f>"02/2016"</f>
        <v>02/2016</v>
      </c>
      <c r="E163" s="23"/>
      <c r="F163" s="23" t="s">
        <v>136</v>
      </c>
      <c r="G163" s="43" t="s">
        <v>136</v>
      </c>
      <c r="H163" s="44"/>
      <c r="I163" s="44"/>
    </row>
    <row r="164" spans="1:10" s="3" customFormat="1" ht="30">
      <c r="A164" s="41"/>
      <c r="B164" s="23" t="s">
        <v>171</v>
      </c>
      <c r="C164" s="42" t="str">
        <f>HYPERLINK("https://support.industry.siemens.com/cs/ww/en/view/19979721","Measuring systems, Motion Control Encoder, SSI - EnDat valid for the following types: 6FX2001-5.E../5.S..")</f>
        <v>Measuring systems, Motion Control Encoder, SSI - EnDat valid for the following types: 6FX2001-5.E../5.S..</v>
      </c>
      <c r="D164" s="23" t="str">
        <f>"09/2017"</f>
        <v>09/2017</v>
      </c>
      <c r="E164" s="23"/>
      <c r="F164" s="23" t="s">
        <v>136</v>
      </c>
      <c r="G164" s="43" t="s">
        <v>136</v>
      </c>
      <c r="H164" s="44"/>
      <c r="I164" s="44"/>
    </row>
    <row r="165" spans="1:10" s="3" customFormat="1">
      <c r="A165" s="41"/>
      <c r="B165" s="23" t="s">
        <v>171</v>
      </c>
      <c r="C165" s="42" t="str">
        <f>HYPERLINK("https://support.industry.siemens.com/cs/ww/en/view/28821017","Description for Absolut Encoder with PROFIBUS DP with hollow shaft")</f>
        <v>Description for Absolut Encoder with PROFIBUS DP with hollow shaft</v>
      </c>
      <c r="D165" s="23" t="str">
        <f>"06/2005"</f>
        <v>06/2005</v>
      </c>
      <c r="E165" s="23"/>
      <c r="F165" s="23" t="s">
        <v>136</v>
      </c>
      <c r="G165" s="43" t="s">
        <v>136</v>
      </c>
      <c r="H165" s="44"/>
      <c r="I165" s="44"/>
    </row>
    <row r="166" spans="1:10" s="3" customFormat="1">
      <c r="A166" s="41"/>
      <c r="B166" s="23" t="s">
        <v>171</v>
      </c>
      <c r="C166" s="42" t="str">
        <f>HYPERLINK("https://support.industry.siemens.com/cs/ww/en/view/28822402","Description for Absolut Encoder with PROFIBUS DP with solid shaft")</f>
        <v>Description for Absolut Encoder with PROFIBUS DP with solid shaft</v>
      </c>
      <c r="D166" s="23" t="str">
        <f>"05/2004"</f>
        <v>05/2004</v>
      </c>
      <c r="E166" s="23"/>
      <c r="F166" s="23" t="s">
        <v>136</v>
      </c>
      <c r="G166" s="43" t="s">
        <v>136</v>
      </c>
      <c r="H166" s="44"/>
      <c r="I166" s="44"/>
    </row>
    <row r="167" spans="1:10">
      <c r="A167" s="32" t="s">
        <v>270</v>
      </c>
      <c r="B167" s="33"/>
      <c r="C167" s="34"/>
      <c r="D167" s="33"/>
      <c r="E167" s="33"/>
      <c r="F167" s="35"/>
      <c r="G167" s="36"/>
      <c r="H167" s="46"/>
      <c r="I167" s="23"/>
      <c r="J167" s="2"/>
    </row>
    <row r="168" spans="1:10">
      <c r="A168" s="37" t="s">
        <v>271</v>
      </c>
      <c r="B168" s="38"/>
      <c r="C168" s="38"/>
      <c r="D168" s="38"/>
      <c r="E168" s="39"/>
      <c r="F168" s="39"/>
      <c r="G168" s="40"/>
      <c r="H168" s="45"/>
      <c r="I168" s="23"/>
      <c r="J168" s="2"/>
    </row>
    <row r="169" spans="1:10" s="3" customFormat="1">
      <c r="A169" s="41"/>
      <c r="B169" s="23" t="s">
        <v>155</v>
      </c>
      <c r="C169" s="42" t="str">
        <f>HYPERLINK("https://support.industry.siemens.com/cs/ww/en/view/55379345","SIMOTICS S-1FK7 G2 synchronous motors")</f>
        <v>SIMOTICS S-1FK7 G2 synchronous motors</v>
      </c>
      <c r="D169" s="23" t="str">
        <f>"02/2018"</f>
        <v>02/2018</v>
      </c>
      <c r="E169" s="23" t="s">
        <v>272</v>
      </c>
      <c r="F169" s="23" t="s">
        <v>136</v>
      </c>
      <c r="G169" s="43" t="s">
        <v>136</v>
      </c>
      <c r="H169" s="44"/>
      <c r="I169" s="44"/>
    </row>
    <row r="170" spans="1:10" s="3" customFormat="1">
      <c r="A170" s="41"/>
      <c r="B170" s="23" t="s">
        <v>226</v>
      </c>
      <c r="C170" s="42" t="str">
        <f>HYPERLINK("https://support.industry.siemens.com/cs/ww/en/view/99457853","Replacing an encoder for SIMOTICS S-1FK7 G2, S-1FG1 and S-1FT7")</f>
        <v>Replacing an encoder for SIMOTICS S-1FK7 G2, S-1FG1 and S-1FT7</v>
      </c>
      <c r="D170" s="23" t="str">
        <f>"01/2018"</f>
        <v>01/2018</v>
      </c>
      <c r="E170" s="23"/>
      <c r="F170" s="23" t="s">
        <v>136</v>
      </c>
      <c r="G170" s="43" t="s">
        <v>136</v>
      </c>
      <c r="H170" s="44"/>
      <c r="I170" s="44"/>
    </row>
    <row r="171" spans="1:10" s="3" customFormat="1">
      <c r="A171" s="41"/>
      <c r="B171" s="23" t="s">
        <v>273</v>
      </c>
      <c r="C171" s="42" t="str">
        <f>HYPERLINK("https://support.industry.siemens.com/cs/ww/en/view/109743519","SIMOTICS S-1FK7 G2 synchronous motors")</f>
        <v>SIMOTICS S-1FK7 G2 synchronous motors</v>
      </c>
      <c r="D171" s="23" t="str">
        <f>"11/2016"</f>
        <v>11/2016</v>
      </c>
      <c r="E171" s="23" t="s">
        <v>274</v>
      </c>
      <c r="F171" s="23" t="s">
        <v>136</v>
      </c>
      <c r="G171" s="43" t="s">
        <v>136</v>
      </c>
      <c r="H171" s="44"/>
      <c r="I171" s="44"/>
    </row>
    <row r="172" spans="1:10" s="3" customFormat="1" ht="30">
      <c r="A172" s="41"/>
      <c r="B172" s="23" t="s">
        <v>273</v>
      </c>
      <c r="C172" s="42" t="str">
        <f>HYPERLINK("https://support.industry.siemens.com/cs/ww/en/view/109758303","SIMOTICS S-1FK7 DYA G2 synchronous motors with planetary gearbox")</f>
        <v>SIMOTICS S-1FK7 DYA G2 synchronous motors with planetary gearbox</v>
      </c>
      <c r="D172" s="23" t="str">
        <f>"05/2018"</f>
        <v>05/2018</v>
      </c>
      <c r="E172" s="23"/>
      <c r="F172" s="23" t="s">
        <v>136</v>
      </c>
      <c r="G172" s="43" t="s">
        <v>136</v>
      </c>
      <c r="H172" s="44"/>
      <c r="I172" s="44"/>
    </row>
    <row r="173" spans="1:10">
      <c r="A173" s="37" t="s">
        <v>275</v>
      </c>
      <c r="B173" s="38"/>
      <c r="C173" s="38"/>
      <c r="D173" s="38"/>
      <c r="E173" s="39"/>
      <c r="F173" s="39"/>
      <c r="G173" s="40"/>
      <c r="H173" s="45"/>
      <c r="I173" s="23"/>
      <c r="J173" s="2"/>
    </row>
    <row r="174" spans="1:10" s="3" customFormat="1">
      <c r="A174" s="41"/>
      <c r="B174" s="23" t="s">
        <v>273</v>
      </c>
      <c r="C174" s="42" t="str">
        <f>HYPERLINK("https://support.industry.siemens.com/cs/ww/en/view/28648174","Three-phase servomotors 1FT6 02. - 1FT6 10.")</f>
        <v>Three-phase servomotors 1FT6 02. - 1FT6 10.</v>
      </c>
      <c r="D174" s="23" t="str">
        <f>"07/2003"</f>
        <v>07/2003</v>
      </c>
      <c r="E174" s="23"/>
      <c r="F174" s="23" t="s">
        <v>136</v>
      </c>
      <c r="G174" s="43" t="s">
        <v>136</v>
      </c>
      <c r="H174" s="44"/>
      <c r="I174" s="44"/>
    </row>
    <row r="175" spans="1:10" s="3" customFormat="1">
      <c r="A175" s="41"/>
      <c r="B175" s="23" t="s">
        <v>171</v>
      </c>
      <c r="C175" s="42" t="str">
        <f>HYPERLINK("https://support.industry.siemens.com/cs/ww/en/view/96804323","Three-phase servomotors 1FT6 03. - 04. 1FT6 06. - 13.")</f>
        <v>Three-phase servomotors 1FT6 03. - 04. 1FT6 06. - 13.</v>
      </c>
      <c r="D175" s="23" t="str">
        <f>"07/1996"</f>
        <v>07/1996</v>
      </c>
      <c r="E175" s="23"/>
      <c r="F175" s="23" t="s">
        <v>136</v>
      </c>
      <c r="G175" s="43" t="s">
        <v>136</v>
      </c>
      <c r="H175" s="44"/>
      <c r="I175" s="44"/>
    </row>
    <row r="176" spans="1:10" s="3" customFormat="1" ht="30">
      <c r="A176" s="41"/>
      <c r="B176" s="23" t="s">
        <v>273</v>
      </c>
      <c r="C176" s="42" t="str">
        <f>HYPERLINK("https://support.industry.siemens.com/cs/ww/en/view/33092754","Three-phase servomotors 1FT6 13. - 1FT6 16., in de, en, fr, es, it and sv")</f>
        <v>Three-phase servomotors 1FT6 13. - 1FT6 16., in de, en, fr, es, it and sv</v>
      </c>
      <c r="D176" s="23" t="str">
        <f>"03/2007"</f>
        <v>03/2007</v>
      </c>
      <c r="E176" s="23"/>
      <c r="F176" s="23" t="s">
        <v>136</v>
      </c>
      <c r="G176" s="43" t="s">
        <v>136</v>
      </c>
      <c r="H176" s="44"/>
      <c r="I176" s="44"/>
    </row>
    <row r="177" spans="1:10">
      <c r="A177" s="37" t="s">
        <v>276</v>
      </c>
      <c r="B177" s="38"/>
      <c r="C177" s="38"/>
      <c r="D177" s="38"/>
      <c r="E177" s="39"/>
      <c r="F177" s="39"/>
      <c r="G177" s="40"/>
      <c r="H177" s="45"/>
      <c r="I177" s="23"/>
      <c r="J177" s="2"/>
    </row>
    <row r="178" spans="1:10" s="3" customFormat="1">
      <c r="A178" s="41"/>
      <c r="B178" s="23" t="s">
        <v>226</v>
      </c>
      <c r="C178" s="42" t="str">
        <f>HYPERLINK("https://support.industry.siemens.com/cs/ww/en/view/99457853","Replacing an encoder for SIMOTICS S-1FK7 G2, S-1FG1 and S-1FT7")</f>
        <v>Replacing an encoder for SIMOTICS S-1FK7 G2, S-1FG1 and S-1FT7</v>
      </c>
      <c r="D178" s="23" t="str">
        <f>"01/2018"</f>
        <v>01/2018</v>
      </c>
      <c r="E178" s="23"/>
      <c r="F178" s="23" t="s">
        <v>136</v>
      </c>
      <c r="G178" s="43" t="s">
        <v>136</v>
      </c>
      <c r="H178" s="44"/>
      <c r="I178" s="44"/>
    </row>
    <row r="179" spans="1:10" s="3" customFormat="1">
      <c r="A179" s="41"/>
      <c r="B179" s="23" t="s">
        <v>273</v>
      </c>
      <c r="C179" s="42" t="str">
        <f>HYPERLINK("https://support.industry.siemens.com/cs/ww/en/view/109479725","SIMOTICS S-1FT7 synchronous motors ")</f>
        <v xml:space="preserve">SIMOTICS S-1FT7 synchronous motors </v>
      </c>
      <c r="D179" s="23" t="str">
        <f>"11/2016"</f>
        <v>11/2016</v>
      </c>
      <c r="E179" s="23" t="s">
        <v>277</v>
      </c>
      <c r="F179" s="23" t="s">
        <v>136</v>
      </c>
      <c r="G179" s="43" t="s">
        <v>136</v>
      </c>
      <c r="H179" s="44"/>
      <c r="I179" s="44"/>
    </row>
    <row r="180" spans="1:10" s="3" customFormat="1">
      <c r="A180" s="41"/>
      <c r="B180" s="23" t="s">
        <v>155</v>
      </c>
      <c r="C180" s="42" t="str">
        <f>HYPERLINK("https://support.industry.siemens.com/cs/ww/en/view/109482538","SIMOTICS S-1FT7 synchronous motors")</f>
        <v>SIMOTICS S-1FT7 synchronous motors</v>
      </c>
      <c r="D180" s="23" t="str">
        <f>"09/2018"</f>
        <v>09/2018</v>
      </c>
      <c r="E180" s="23" t="s">
        <v>278</v>
      </c>
      <c r="F180" s="23" t="s">
        <v>136</v>
      </c>
      <c r="G180" s="43" t="s">
        <v>136</v>
      </c>
      <c r="H180" s="44"/>
      <c r="I180" s="44"/>
    </row>
    <row r="181" spans="1:10">
      <c r="A181" s="37" t="s">
        <v>279</v>
      </c>
      <c r="B181" s="38"/>
      <c r="C181" s="38"/>
      <c r="D181" s="38"/>
      <c r="E181" s="39"/>
      <c r="F181" s="39"/>
      <c r="G181" s="40"/>
      <c r="H181" s="45"/>
      <c r="I181" s="23"/>
      <c r="J181" s="2"/>
    </row>
    <row r="182" spans="1:10" s="3" customFormat="1">
      <c r="A182" s="41"/>
      <c r="B182" s="23" t="s">
        <v>226</v>
      </c>
      <c r="C182" s="42" t="str">
        <f>HYPERLINK("https://support.industry.siemens.com/cs/ww/en/view/99457853","Replacing an encoder for SIMOTICS S-1FK7 G2, S-1FG1 and S-1FT7")</f>
        <v>Replacing an encoder for SIMOTICS S-1FK7 G2, S-1FG1 and S-1FT7</v>
      </c>
      <c r="D182" s="23" t="str">
        <f>"01/2018"</f>
        <v>01/2018</v>
      </c>
      <c r="E182" s="23"/>
      <c r="F182" s="23" t="s">
        <v>136</v>
      </c>
      <c r="G182" s="43" t="s">
        <v>136</v>
      </c>
      <c r="H182" s="44"/>
      <c r="I182" s="44"/>
    </row>
    <row r="183" spans="1:10" s="3" customFormat="1">
      <c r="A183" s="41"/>
      <c r="B183" s="23" t="s">
        <v>273</v>
      </c>
      <c r="C183" s="42" t="str">
        <f>HYPERLINK("https://support.industry.siemens.com/cs/ww/en/view/109476098","Operating Instructions for SIMOTICS S-1FG1 servo geared motors")</f>
        <v>Operating Instructions for SIMOTICS S-1FG1 servo geared motors</v>
      </c>
      <c r="D183" s="23" t="str">
        <f>"11/2015"</f>
        <v>11/2015</v>
      </c>
      <c r="E183" s="23" t="s">
        <v>280</v>
      </c>
      <c r="F183" s="23" t="s">
        <v>136</v>
      </c>
      <c r="G183" s="43" t="s">
        <v>136</v>
      </c>
      <c r="H183" s="44"/>
      <c r="I183" s="44"/>
    </row>
    <row r="184" spans="1:10">
      <c r="A184" s="32" t="s">
        <v>281</v>
      </c>
      <c r="B184" s="33"/>
      <c r="C184" s="34"/>
      <c r="D184" s="33"/>
      <c r="E184" s="33"/>
      <c r="F184" s="35"/>
      <c r="G184" s="36"/>
      <c r="H184" s="46"/>
      <c r="I184" s="23"/>
      <c r="J184" s="2"/>
    </row>
    <row r="185" spans="1:10">
      <c r="A185" s="37" t="s">
        <v>464</v>
      </c>
      <c r="B185" s="38"/>
      <c r="C185" s="38"/>
      <c r="D185" s="38"/>
      <c r="E185" s="39"/>
      <c r="F185" s="39"/>
      <c r="G185" s="40"/>
      <c r="H185" s="45"/>
      <c r="I185" s="23"/>
      <c r="J185" s="2"/>
    </row>
    <row r="186" spans="1:10" s="3" customFormat="1">
      <c r="A186" s="41"/>
      <c r="B186" s="23" t="s">
        <v>273</v>
      </c>
      <c r="C186" s="42" t="str">
        <f>HYPERLINK("https://support.industry.siemens.com/cs/ww/en/view/44433003","Operating instructions for induction motors 1PH4")</f>
        <v>Operating instructions for induction motors 1PH4</v>
      </c>
      <c r="D186" s="23" t="str">
        <f>"05/2010"</f>
        <v>05/2010</v>
      </c>
      <c r="E186" s="23" t="s">
        <v>282</v>
      </c>
      <c r="F186" s="23" t="s">
        <v>136</v>
      </c>
      <c r="G186" s="43" t="s">
        <v>136</v>
      </c>
      <c r="H186" s="44"/>
      <c r="I186" s="44"/>
    </row>
    <row r="187" spans="1:10" s="3" customFormat="1">
      <c r="A187" s="41"/>
      <c r="B187" s="23" t="s">
        <v>155</v>
      </c>
      <c r="C187" s="42" t="str">
        <f>HYPERLINK("https://support.industry.siemens.com/cs/ww/en/view/31412952","SINAMICS S120 Induction Motors Configuration Manual 1PH4 ")</f>
        <v xml:space="preserve">SINAMICS S120 Induction Motors Configuration Manual 1PH4 </v>
      </c>
      <c r="D187" s="23" t="str">
        <f>"08/2008"</f>
        <v>08/2008</v>
      </c>
      <c r="E187" s="23" t="s">
        <v>283</v>
      </c>
      <c r="F187" s="23" t="s">
        <v>136</v>
      </c>
      <c r="G187" s="43" t="s">
        <v>136</v>
      </c>
      <c r="H187" s="44"/>
      <c r="I187" s="44"/>
    </row>
    <row r="188" spans="1:10">
      <c r="A188" s="37" t="s">
        <v>465</v>
      </c>
      <c r="B188" s="38"/>
      <c r="C188" s="38"/>
      <c r="D188" s="38"/>
      <c r="E188" s="39"/>
      <c r="F188" s="39"/>
      <c r="G188" s="40"/>
      <c r="H188" s="45"/>
      <c r="I188" s="23"/>
      <c r="J188" s="2"/>
    </row>
    <row r="189" spans="1:10" s="3" customFormat="1">
      <c r="A189" s="41"/>
      <c r="B189" s="23" t="s">
        <v>273</v>
      </c>
      <c r="C189" s="42" t="str">
        <f>HYPERLINK("https://support.industry.siemens.com/cs/ww/en/view/33336121","Operating instructions for induction motors 1PH7")</f>
        <v>Operating instructions for induction motors 1PH7</v>
      </c>
      <c r="D189" s="23" t="str">
        <f>"11/2008"</f>
        <v>11/2008</v>
      </c>
      <c r="E189" s="23" t="s">
        <v>284</v>
      </c>
      <c r="F189" s="23" t="s">
        <v>136</v>
      </c>
      <c r="G189" s="43" t="s">
        <v>136</v>
      </c>
      <c r="H189" s="44"/>
      <c r="I189" s="44"/>
    </row>
    <row r="190" spans="1:10" s="3" customFormat="1">
      <c r="A190" s="41"/>
      <c r="B190" s="23" t="s">
        <v>273</v>
      </c>
      <c r="C190" s="42" t="str">
        <f>HYPERLINK("https://support.industry.siemens.com/cs/ww/en/view/28710470","Three-phase induction motor Operating Instructions 1PH718")</f>
        <v>Three-phase induction motor Operating Instructions 1PH718</v>
      </c>
      <c r="D190" s="23" t="str">
        <f>"02/2008"</f>
        <v>02/2008</v>
      </c>
      <c r="E190" s="23"/>
      <c r="F190" s="23" t="s">
        <v>136</v>
      </c>
      <c r="G190" s="43" t="s">
        <v>136</v>
      </c>
      <c r="H190" s="44"/>
      <c r="I190" s="44"/>
    </row>
    <row r="191" spans="1:10" s="3" customFormat="1">
      <c r="A191" s="41"/>
      <c r="B191" s="23" t="s">
        <v>273</v>
      </c>
      <c r="C191" s="42" t="str">
        <f>HYPERLINK("https://support.industry.siemens.com/cs/ww/en/view/28710238","Three-phase induction motor Operating Instructions 1PH722")</f>
        <v>Three-phase induction motor Operating Instructions 1PH722</v>
      </c>
      <c r="D191" s="23" t="str">
        <f>"03/2008"</f>
        <v>03/2008</v>
      </c>
      <c r="E191" s="23"/>
      <c r="F191" s="23" t="s">
        <v>136</v>
      </c>
      <c r="G191" s="43" t="s">
        <v>136</v>
      </c>
      <c r="H191" s="44"/>
      <c r="I191" s="44"/>
    </row>
    <row r="192" spans="1:10" s="3" customFormat="1">
      <c r="A192" s="41"/>
      <c r="B192" s="23" t="s">
        <v>273</v>
      </c>
      <c r="C192" s="42" t="str">
        <f>HYPERLINK("https://support.industry.siemens.com/cs/ww/en/view/28711786","Three-phase induction motor Operating Instructions 1PH728")</f>
        <v>Three-phase induction motor Operating Instructions 1PH728</v>
      </c>
      <c r="D192" s="23" t="str">
        <f>"03/2008"</f>
        <v>03/2008</v>
      </c>
      <c r="E192" s="23"/>
      <c r="F192" s="23" t="s">
        <v>136</v>
      </c>
      <c r="G192" s="43" t="s">
        <v>136</v>
      </c>
      <c r="H192" s="44"/>
      <c r="I192" s="44"/>
    </row>
    <row r="193" spans="1:10">
      <c r="A193" s="37" t="s">
        <v>285</v>
      </c>
      <c r="B193" s="38"/>
      <c r="C193" s="38"/>
      <c r="D193" s="38"/>
      <c r="E193" s="39"/>
      <c r="F193" s="39"/>
      <c r="G193" s="40"/>
      <c r="H193" s="45"/>
      <c r="I193" s="23"/>
      <c r="J193" s="2"/>
    </row>
    <row r="194" spans="1:10" s="3" customFormat="1" ht="30">
      <c r="A194" s="41"/>
      <c r="B194" s="23" t="s">
        <v>273</v>
      </c>
      <c r="C194" s="42" t="str">
        <f>HYPERLINK("https://support.industry.siemens.com/cs/ww/en/view/103704621","Operating instructions main motors SIMOTICS M-1PH8 Ex-protected version for Zones 2 and 22 (M03 and M39 options)")</f>
        <v>Operating instructions main motors SIMOTICS M-1PH8 Ex-protected version for Zones 2 and 22 (M03 and M39 options)</v>
      </c>
      <c r="D194" s="23" t="str">
        <f>"05/2014"</f>
        <v>05/2014</v>
      </c>
      <c r="E194" s="23" t="s">
        <v>286</v>
      </c>
      <c r="F194" s="23" t="s">
        <v>136</v>
      </c>
      <c r="G194" s="43" t="s">
        <v>136</v>
      </c>
      <c r="H194" s="44"/>
      <c r="I194" s="44"/>
    </row>
    <row r="195" spans="1:10" s="3" customFormat="1" ht="30">
      <c r="A195" s="41"/>
      <c r="B195" s="23" t="s">
        <v>273</v>
      </c>
      <c r="C195" s="42" t="str">
        <f>HYPERLINK("https://support.industry.siemens.com/cs/ww/en/view/109739268","Synchronous motor SIMOTICS M-1PH8 1PH818., 1PH822., forced ventilated/water cooled")</f>
        <v>Synchronous motor SIMOTICS M-1PH8 1PH818., 1PH822., forced ventilated/water cooled</v>
      </c>
      <c r="D195" s="23" t="str">
        <f>"07/2016"</f>
        <v>07/2016</v>
      </c>
      <c r="E195" s="23" t="s">
        <v>287</v>
      </c>
      <c r="F195" s="23" t="s">
        <v>136</v>
      </c>
      <c r="G195" s="43" t="s">
        <v>136</v>
      </c>
      <c r="H195" s="44"/>
      <c r="I195" s="44"/>
    </row>
    <row r="196" spans="1:10" s="3" customFormat="1" ht="30">
      <c r="A196" s="41"/>
      <c r="B196" s="23" t="s">
        <v>273</v>
      </c>
      <c r="C196" s="42" t="str">
        <f>HYPERLINK("https://support.industry.siemens.com/cs/ww/en/view/109738144","Main motors SIMOTICS M-1PH8 1PH818., 1PH822., 1PH828. forced-ventilated/water-cooled")</f>
        <v>Main motors SIMOTICS M-1PH8 1PH818., 1PH822., 1PH828. forced-ventilated/water-cooled</v>
      </c>
      <c r="D196" s="23" t="str">
        <f>"10/2017"</f>
        <v>10/2017</v>
      </c>
      <c r="E196" s="23"/>
      <c r="F196" s="23" t="s">
        <v>136</v>
      </c>
      <c r="G196" s="43" t="s">
        <v>136</v>
      </c>
      <c r="H196" s="44"/>
      <c r="I196" s="44"/>
    </row>
    <row r="197" spans="1:10" s="3" customFormat="1">
      <c r="A197" s="41"/>
      <c r="B197" s="23" t="s">
        <v>273</v>
      </c>
      <c r="C197" s="42" t="str">
        <f>HYPERLINK("https://support.industry.siemens.com/cs/ww/en/view/36054991","SIMOTICS M-1PH808/1PH810 main motors")</f>
        <v>SIMOTICS M-1PH808/1PH810 main motors</v>
      </c>
      <c r="D197" s="23" t="str">
        <f>"04/2017"</f>
        <v>04/2017</v>
      </c>
      <c r="E197" s="23" t="s">
        <v>288</v>
      </c>
      <c r="F197" s="23" t="s">
        <v>136</v>
      </c>
      <c r="G197" s="43" t="s">
        <v>136</v>
      </c>
      <c r="H197" s="44"/>
      <c r="I197" s="44"/>
    </row>
    <row r="198" spans="1:10" s="3" customFormat="1">
      <c r="A198" s="41"/>
      <c r="B198" s="23" t="s">
        <v>273</v>
      </c>
      <c r="C198" s="42" t="str">
        <f>HYPERLINK("https://support.industry.siemens.com/cs/ww/en/view/64359576","SIMOTICS M-1PH813/1PH816 main motors")</f>
        <v>SIMOTICS M-1PH813/1PH816 main motors</v>
      </c>
      <c r="D198" s="23" t="str">
        <f>"01/2015"</f>
        <v>01/2015</v>
      </c>
      <c r="E198" s="23" t="s">
        <v>289</v>
      </c>
      <c r="F198" s="23" t="s">
        <v>136</v>
      </c>
      <c r="G198" s="43" t="s">
        <v>136</v>
      </c>
      <c r="H198" s="44"/>
      <c r="I198" s="44"/>
    </row>
    <row r="199" spans="1:10" s="3" customFormat="1">
      <c r="A199" s="41"/>
      <c r="B199" s="23" t="s">
        <v>273</v>
      </c>
      <c r="C199" s="42" t="str">
        <f>HYPERLINK("https://support.industry.siemens.com/cs/ww/en/view/66627170","Induction motor SIMOTICS M-1PH8, 1PH8")</f>
        <v>Induction motor SIMOTICS M-1PH8, 1PH8</v>
      </c>
      <c r="D199" s="23" t="str">
        <f>"11/2012"</f>
        <v>11/2012</v>
      </c>
      <c r="E199" s="23"/>
      <c r="F199" s="23" t="s">
        <v>136</v>
      </c>
      <c r="G199" s="43" t="s">
        <v>136</v>
      </c>
      <c r="H199" s="44"/>
      <c r="I199" s="44"/>
    </row>
    <row r="200" spans="1:10" s="3" customFormat="1">
      <c r="A200" s="41"/>
      <c r="B200" s="23" t="s">
        <v>155</v>
      </c>
      <c r="C200" s="42" t="str">
        <f>HYPERLINK("https://support.industry.siemens.com/cs/ww/en/view/109744012","SIMOTICS M-1PH8 main motors for SINAMICS S120 ")</f>
        <v xml:space="preserve">SIMOTICS M-1PH8 main motors for SINAMICS S120 </v>
      </c>
      <c r="D200" s="23" t="str">
        <f>"12/2016"</f>
        <v>12/2016</v>
      </c>
      <c r="E200" s="23" t="s">
        <v>290</v>
      </c>
      <c r="F200" s="23" t="s">
        <v>136</v>
      </c>
      <c r="G200" s="43" t="s">
        <v>136</v>
      </c>
      <c r="H200" s="44"/>
      <c r="I200" s="44"/>
    </row>
    <row r="201" spans="1:10">
      <c r="A201" s="37" t="s">
        <v>291</v>
      </c>
      <c r="B201" s="38"/>
      <c r="C201" s="38"/>
      <c r="D201" s="38"/>
      <c r="E201" s="39"/>
      <c r="F201" s="39"/>
      <c r="G201" s="40"/>
      <c r="H201" s="45"/>
      <c r="I201" s="23"/>
      <c r="J201" s="2"/>
    </row>
    <row r="202" spans="1:10" s="3" customFormat="1">
      <c r="A202" s="41"/>
      <c r="B202" s="23" t="s">
        <v>155</v>
      </c>
      <c r="C202" s="42" t="str">
        <f>HYPERLINK("https://support.industry.siemens.com/cs/ww/en/view/30838844","1PM6/1PM4 Hollow-Shaft Motors for Main Spindle Drives")</f>
        <v>1PM6/1PM4 Hollow-Shaft Motors for Main Spindle Drives</v>
      </c>
      <c r="D202" s="23" t="str">
        <f>"04/2008"</f>
        <v>04/2008</v>
      </c>
      <c r="E202" s="23" t="s">
        <v>292</v>
      </c>
      <c r="F202" s="23" t="s">
        <v>136</v>
      </c>
      <c r="G202" s="43" t="s">
        <v>136</v>
      </c>
      <c r="H202" s="44"/>
      <c r="I202" s="44"/>
    </row>
    <row r="203" spans="1:10" s="3" customFormat="1">
      <c r="A203" s="41"/>
      <c r="B203" s="23" t="s">
        <v>273</v>
      </c>
      <c r="C203" s="42" t="str">
        <f>HYPERLINK("https://support.industry.siemens.com/cs/ww/en/view/49474988","Hollow Shaft Motors 1PM6 Air cooled")</f>
        <v>Hollow Shaft Motors 1PM6 Air cooled</v>
      </c>
      <c r="D203" s="23" t="str">
        <f>"12/2005"</f>
        <v>12/2005</v>
      </c>
      <c r="E203" s="23"/>
      <c r="F203" s="23" t="s">
        <v>136</v>
      </c>
      <c r="G203" s="43" t="s">
        <v>136</v>
      </c>
      <c r="H203" s="44"/>
      <c r="I203" s="44"/>
    </row>
    <row r="204" spans="1:10" s="3" customFormat="1">
      <c r="A204" s="41"/>
      <c r="B204" s="23" t="s">
        <v>273</v>
      </c>
      <c r="C204" s="42" t="str">
        <f>HYPERLINK("https://support.industry.siemens.com/cs/ww/en/view/49474516","Hohlwellenmotoren 1PM4, liquid cooled")</f>
        <v>Hohlwellenmotoren 1PM4, liquid cooled</v>
      </c>
      <c r="D204" s="23" t="str">
        <f>"12/2005"</f>
        <v>12/2005</v>
      </c>
      <c r="E204" s="23"/>
      <c r="F204" s="23" t="s">
        <v>136</v>
      </c>
      <c r="G204" s="43" t="s">
        <v>136</v>
      </c>
      <c r="H204" s="44"/>
      <c r="I204" s="44"/>
    </row>
    <row r="205" spans="1:10">
      <c r="A205" s="37" t="s">
        <v>293</v>
      </c>
      <c r="B205" s="38"/>
      <c r="C205" s="38"/>
      <c r="D205" s="38"/>
      <c r="E205" s="38"/>
      <c r="F205" s="39"/>
      <c r="G205" s="40"/>
      <c r="H205" s="45"/>
      <c r="I205" s="23"/>
      <c r="J205" s="2"/>
    </row>
    <row r="206" spans="1:10" s="3" customFormat="1">
      <c r="A206" s="41"/>
      <c r="B206" s="23" t="s">
        <v>294</v>
      </c>
      <c r="C206" s="42" t="str">
        <f>HYPERLINK("https://support.industry.siemens.com/cs/ww/en/view/109745110","SIMOTICS M-1FE1 synchronous built-in motors")</f>
        <v>SIMOTICS M-1FE1 synchronous built-in motors</v>
      </c>
      <c r="D206" s="23" t="str">
        <f>"12/2016"</f>
        <v>12/2016</v>
      </c>
      <c r="E206" s="23" t="s">
        <v>295</v>
      </c>
      <c r="F206" s="23" t="s">
        <v>136</v>
      </c>
      <c r="G206" s="43" t="s">
        <v>136</v>
      </c>
      <c r="H206" s="44"/>
      <c r="I206" s="44"/>
    </row>
    <row r="207" spans="1:10" s="3" customFormat="1" ht="30">
      <c r="A207" s="41"/>
      <c r="B207" s="23" t="s">
        <v>294</v>
      </c>
      <c r="C207" s="42" t="str">
        <f>HYPERLINK("https://support.industry.siemens.com/cs/ww/en/view/109475767","SIMOTICS 1FE2 synchronous built-in motors for SINAMICS S120 Installation Manual")</f>
        <v>SIMOTICS 1FE2 synchronous built-in motors for SINAMICS S120 Installation Manual</v>
      </c>
      <c r="D207" s="23" t="str">
        <f>"01/2015"</f>
        <v>01/2015</v>
      </c>
      <c r="E207" s="23" t="s">
        <v>296</v>
      </c>
      <c r="F207" s="23" t="s">
        <v>136</v>
      </c>
      <c r="G207" s="43" t="s">
        <v>136</v>
      </c>
      <c r="H207" s="44"/>
      <c r="I207" s="44"/>
    </row>
    <row r="208" spans="1:10" s="3" customFormat="1" ht="30">
      <c r="A208" s="41"/>
      <c r="B208" s="23" t="s">
        <v>155</v>
      </c>
      <c r="C208" s="42" t="str">
        <f>HYPERLINK("https://support.industry.siemens.com/cs/ww/en/view/44479809","SINAMICS S120 Configuration Manual Synchronous Built-in Motors 1FE1")</f>
        <v>SINAMICS S120 Configuration Manual Synchronous Built-in Motors 1FE1</v>
      </c>
      <c r="D208" s="23" t="str">
        <f>"06/2010"</f>
        <v>06/2010</v>
      </c>
      <c r="E208" s="23" t="s">
        <v>297</v>
      </c>
      <c r="F208" s="23" t="s">
        <v>136</v>
      </c>
      <c r="G208" s="43" t="s">
        <v>136</v>
      </c>
      <c r="H208" s="44"/>
      <c r="I208" s="44"/>
    </row>
    <row r="209" spans="1:10" s="3" customFormat="1" ht="30">
      <c r="A209" s="41"/>
      <c r="B209" s="23" t="s">
        <v>155</v>
      </c>
      <c r="C209" s="42" t="str">
        <f>HYPERLINK("https://support.industry.siemens.com/cs/ww/en/view/109474362","SIMOTICS Configuration Manual 1FE2 Synchronous Built-In Motors for SINAMICS S120")</f>
        <v>SIMOTICS Configuration Manual 1FE2 Synchronous Built-In Motors for SINAMICS S120</v>
      </c>
      <c r="D209" s="23" t="str">
        <f>"01/2015"</f>
        <v>01/2015</v>
      </c>
      <c r="E209" s="23" t="s">
        <v>298</v>
      </c>
      <c r="F209" s="23" t="s">
        <v>136</v>
      </c>
      <c r="G209" s="43" t="s">
        <v>136</v>
      </c>
      <c r="H209" s="44"/>
      <c r="I209" s="44"/>
    </row>
    <row r="210" spans="1:10">
      <c r="A210" s="32" t="s">
        <v>299</v>
      </c>
      <c r="B210" s="33"/>
      <c r="C210" s="34"/>
      <c r="D210" s="33"/>
      <c r="E210" s="33"/>
      <c r="F210" s="35"/>
      <c r="G210" s="36"/>
      <c r="H210" s="46"/>
      <c r="I210" s="23"/>
      <c r="J210" s="2"/>
    </row>
    <row r="211" spans="1:10" s="3" customFormat="1">
      <c r="A211" s="41"/>
      <c r="B211" s="23" t="s">
        <v>155</v>
      </c>
      <c r="C211" s="42" t="str">
        <f>HYPERLINK("https://support.industry.siemens.com/cs/ww/en/view/49202670","SINAMICS S120 Configuration Manual 2SP1 ECS Motor Spindle")</f>
        <v>SINAMICS S120 Configuration Manual 2SP1 ECS Motor Spindle</v>
      </c>
      <c r="D211" s="23" t="str">
        <f>"02/2011"</f>
        <v>02/2011</v>
      </c>
      <c r="E211" s="23" t="s">
        <v>300</v>
      </c>
      <c r="F211" s="23" t="s">
        <v>136</v>
      </c>
      <c r="G211" s="43" t="s">
        <v>136</v>
      </c>
      <c r="H211" s="44"/>
      <c r="I211" s="44"/>
    </row>
    <row r="212" spans="1:10" s="3" customFormat="1">
      <c r="A212" s="41"/>
      <c r="B212" s="23" t="s">
        <v>273</v>
      </c>
      <c r="C212" s="42" t="str">
        <f>HYPERLINK("https://support.industry.siemens.com/cs/ww/en/view/49151330","Operating Instructions, 2SP1 ECS Motor Spindle")</f>
        <v>Operating Instructions, 2SP1 ECS Motor Spindle</v>
      </c>
      <c r="D212" s="23" t="str">
        <f>"02/2011"</f>
        <v>02/2011</v>
      </c>
      <c r="E212" s="23" t="s">
        <v>301</v>
      </c>
      <c r="F212" s="23" t="s">
        <v>136</v>
      </c>
      <c r="G212" s="43" t="s">
        <v>136</v>
      </c>
      <c r="H212" s="44"/>
      <c r="I212" s="44"/>
    </row>
    <row r="213" spans="1:10" ht="30">
      <c r="A213" s="32" t="s">
        <v>302</v>
      </c>
      <c r="B213" s="33"/>
      <c r="C213" s="34"/>
      <c r="D213" s="33"/>
      <c r="E213" s="33"/>
      <c r="F213" s="35"/>
      <c r="G213" s="36"/>
      <c r="H213" s="46"/>
      <c r="I213" s="23"/>
      <c r="J213" s="2"/>
    </row>
    <row r="214" spans="1:10">
      <c r="A214" s="37" t="s">
        <v>303</v>
      </c>
      <c r="B214" s="38"/>
      <c r="C214" s="38"/>
      <c r="D214" s="38"/>
      <c r="E214" s="39"/>
      <c r="F214" s="39"/>
      <c r="G214" s="51"/>
      <c r="H214" s="45"/>
      <c r="I214" s="23"/>
      <c r="J214" s="2"/>
    </row>
    <row r="215" spans="1:10" s="3" customFormat="1" ht="30">
      <c r="A215" s="41"/>
      <c r="B215" s="23" t="s">
        <v>155</v>
      </c>
      <c r="C215" s="42" t="str">
        <f>HYPERLINK("https://support.industry.siemens.com/cs/ww/en/view/109475768","SIMOTICS L 1FN3 linear motors for SINAMICS S120")</f>
        <v>SIMOTICS L 1FN3 linear motors for SINAMICS S120</v>
      </c>
      <c r="D215" s="23" t="str">
        <f>"10/2018 (de), 03/2015 (en)"</f>
        <v>10/2018 (de), 03/2015 (en)</v>
      </c>
      <c r="E215" s="23" t="s">
        <v>304</v>
      </c>
      <c r="F215" s="23" t="s">
        <v>136</v>
      </c>
      <c r="G215" s="43" t="s">
        <v>136</v>
      </c>
      <c r="H215" s="44"/>
      <c r="I215" s="44"/>
    </row>
    <row r="216" spans="1:10" s="3" customFormat="1">
      <c r="A216" s="41"/>
      <c r="B216" s="23" t="s">
        <v>273</v>
      </c>
      <c r="C216" s="42" t="str">
        <f>HYPERLINK("https://support.industry.siemens.com/cs/ww/en/view/59868944","SIMOTICS L-1FN3 Linear Motors")</f>
        <v>SIMOTICS L-1FN3 Linear Motors</v>
      </c>
      <c r="D216" s="23" t="str">
        <f>"12/2016"</f>
        <v>12/2016</v>
      </c>
      <c r="E216" s="23" t="s">
        <v>305</v>
      </c>
      <c r="F216" s="23" t="s">
        <v>136</v>
      </c>
      <c r="G216" s="43" t="s">
        <v>136</v>
      </c>
      <c r="H216" s="44"/>
      <c r="I216" s="44"/>
    </row>
    <row r="217" spans="1:10">
      <c r="A217" s="37" t="s">
        <v>306</v>
      </c>
      <c r="B217" s="38"/>
      <c r="C217" s="38"/>
      <c r="D217" s="38"/>
      <c r="E217" s="39"/>
      <c r="F217" s="39"/>
      <c r="G217" s="51"/>
      <c r="H217" s="45"/>
      <c r="I217" s="23"/>
      <c r="J217" s="2"/>
    </row>
    <row r="218" spans="1:10" s="3" customFormat="1">
      <c r="A218" s="41"/>
      <c r="B218" s="23" t="s">
        <v>155</v>
      </c>
      <c r="C218" s="42" t="str">
        <f>HYPERLINK("https://support.industry.siemens.com/cs/ww/en/view/34213504","SINAMICS S120 drive technology SIMOTICS L-1FN6 linear motors")</f>
        <v>SINAMICS S120 drive technology SIMOTICS L-1FN6 linear motors</v>
      </c>
      <c r="D218" s="23" t="str">
        <f>"06/2012"</f>
        <v>06/2012</v>
      </c>
      <c r="E218" s="23" t="s">
        <v>307</v>
      </c>
      <c r="F218" s="23" t="s">
        <v>136</v>
      </c>
      <c r="G218" s="43" t="s">
        <v>136</v>
      </c>
      <c r="H218" s="44"/>
      <c r="I218" s="44"/>
    </row>
    <row r="219" spans="1:10">
      <c r="A219" s="37" t="s">
        <v>308</v>
      </c>
      <c r="B219" s="38"/>
      <c r="C219" s="38"/>
      <c r="D219" s="38"/>
      <c r="E219" s="39"/>
      <c r="F219" s="39"/>
      <c r="G219" s="51"/>
      <c r="H219" s="45"/>
      <c r="I219" s="23"/>
      <c r="J219" s="2"/>
    </row>
    <row r="220" spans="1:10" s="3" customFormat="1">
      <c r="A220" s="41"/>
      <c r="B220" s="23" t="s">
        <v>273</v>
      </c>
      <c r="C220" s="42" t="str">
        <f>HYPERLINK("https://support.industry.siemens.com/cs/ww/en/view/61889287","Operating instructions, SIMOTICS T-1FW3 complete torque motors")</f>
        <v>Operating instructions, SIMOTICS T-1FW3 complete torque motors</v>
      </c>
      <c r="D220" s="23" t="str">
        <f>"02/2016"</f>
        <v>02/2016</v>
      </c>
      <c r="E220" s="23" t="s">
        <v>309</v>
      </c>
      <c r="F220" s="23" t="s">
        <v>136</v>
      </c>
      <c r="G220" s="43" t="s">
        <v>136</v>
      </c>
      <c r="H220" s="44"/>
      <c r="I220" s="44"/>
    </row>
    <row r="221" spans="1:10" s="3" customFormat="1">
      <c r="A221" s="41"/>
      <c r="B221" s="23" t="s">
        <v>155</v>
      </c>
      <c r="C221" s="42" t="str">
        <f>HYPERLINK("https://support.industry.siemens.com/cs/ww/en/view/60151497","SIMOTICS T-1FW3 complete motors for SINAMICS S120")</f>
        <v>SIMOTICS T-1FW3 complete motors for SINAMICS S120</v>
      </c>
      <c r="D221" s="23" t="str">
        <f>"11/2015"</f>
        <v>11/2015</v>
      </c>
      <c r="E221" s="23" t="s">
        <v>310</v>
      </c>
      <c r="F221" s="23" t="s">
        <v>136</v>
      </c>
      <c r="G221" s="43" t="s">
        <v>136</v>
      </c>
      <c r="H221" s="44"/>
      <c r="I221" s="44"/>
    </row>
    <row r="222" spans="1:10">
      <c r="A222" s="37" t="s">
        <v>311</v>
      </c>
      <c r="B222" s="38"/>
      <c r="C222" s="38"/>
      <c r="D222" s="38"/>
      <c r="E222" s="39"/>
      <c r="F222" s="39"/>
      <c r="G222" s="51"/>
      <c r="H222" s="45"/>
      <c r="I222" s="23"/>
      <c r="J222" s="2"/>
    </row>
    <row r="223" spans="1:10" s="3" customFormat="1">
      <c r="A223" s="41"/>
      <c r="B223" s="23" t="s">
        <v>155</v>
      </c>
      <c r="C223" s="42" t="str">
        <f>HYPERLINK("https://support.industry.siemens.com/cs/ww/en/view/103909320","SIMOTICS T-1FW6 built-in torque motors for SINAMICS S120")</f>
        <v>SIMOTICS T-1FW6 built-in torque motors for SINAMICS S120</v>
      </c>
      <c r="D223" s="23" t="str">
        <f>"07/2017"</f>
        <v>07/2017</v>
      </c>
      <c r="E223" s="23" t="s">
        <v>312</v>
      </c>
      <c r="F223" s="23" t="s">
        <v>136</v>
      </c>
      <c r="G223" s="43" t="s">
        <v>136</v>
      </c>
      <c r="H223" s="44"/>
      <c r="I223" s="44"/>
    </row>
    <row r="224" spans="1:10" s="3" customFormat="1">
      <c r="A224" s="41"/>
      <c r="B224" s="23" t="s">
        <v>155</v>
      </c>
      <c r="C224" s="42" t="str">
        <f>HYPERLINK("https://support.industry.siemens.com/cs/ww/en/view/109742105","SIMOTICS T-1FW68 radial segment motors for SINAMICS S120")</f>
        <v>SIMOTICS T-1FW68 radial segment motors for SINAMICS S120</v>
      </c>
      <c r="D224" s="23" t="str">
        <f>"04/2017"</f>
        <v>04/2017</v>
      </c>
      <c r="E224" s="23" t="s">
        <v>313</v>
      </c>
      <c r="F224" s="23" t="s">
        <v>136</v>
      </c>
      <c r="G224" s="43" t="s">
        <v>136</v>
      </c>
      <c r="H224" s="44"/>
      <c r="I224" s="44"/>
    </row>
    <row r="225" spans="1:10" s="3" customFormat="1" ht="30">
      <c r="A225" s="41"/>
      <c r="B225" s="23" t="s">
        <v>155</v>
      </c>
      <c r="C225" s="42" t="str">
        <f>HYPERLINK("https://support.industry.siemens.com/cs/ww/en/view/69054198","SIMOTICS T-1FW6 naturally cooled built-in torque motors for SINAMICS S120")</f>
        <v>SIMOTICS T-1FW6 naturally cooled built-in torque motors for SINAMICS S120</v>
      </c>
      <c r="D225" s="23" t="str">
        <f>"07/2017"</f>
        <v>07/2017</v>
      </c>
      <c r="E225" s="23" t="s">
        <v>314</v>
      </c>
      <c r="F225" s="23" t="s">
        <v>136</v>
      </c>
      <c r="G225" s="43" t="s">
        <v>136</v>
      </c>
      <c r="H225" s="44"/>
      <c r="I225" s="44"/>
    </row>
    <row r="226" spans="1:10" s="3" customFormat="1">
      <c r="A226" s="41"/>
      <c r="B226" s="23" t="s">
        <v>273</v>
      </c>
      <c r="C226" s="42" t="str">
        <f>HYPERLINK("https://support.industry.siemens.com/cs/ww/en/view/109742106","SIMOTICS T-1FW68 radial segment motors")</f>
        <v>SIMOTICS T-1FW68 radial segment motors</v>
      </c>
      <c r="D226" s="23" t="str">
        <f>"04/2017"</f>
        <v>04/2017</v>
      </c>
      <c r="E226" s="23" t="s">
        <v>315</v>
      </c>
      <c r="F226" s="23" t="s">
        <v>136</v>
      </c>
      <c r="G226" s="43" t="s">
        <v>136</v>
      </c>
      <c r="H226" s="44"/>
      <c r="I226" s="44"/>
    </row>
    <row r="227" spans="1:10" s="3" customFormat="1">
      <c r="A227" s="41"/>
      <c r="B227" s="23" t="s">
        <v>273</v>
      </c>
      <c r="C227" s="42" t="str">
        <f>HYPERLINK("https://support.industry.siemens.com/cs/ww/en/view/69048094","Naturally cooled SIMOTICS T-1FW6 built-in torque motors")</f>
        <v>Naturally cooled SIMOTICS T-1FW6 built-in torque motors</v>
      </c>
      <c r="D227" s="23" t="str">
        <f>"07/2017"</f>
        <v>07/2017</v>
      </c>
      <c r="E227" s="23" t="s">
        <v>316</v>
      </c>
      <c r="F227" s="23" t="s">
        <v>136</v>
      </c>
      <c r="G227" s="43" t="s">
        <v>136</v>
      </c>
      <c r="H227" s="44"/>
      <c r="I227" s="44"/>
    </row>
    <row r="228" spans="1:10" s="3" customFormat="1">
      <c r="A228" s="41"/>
      <c r="B228" s="23" t="s">
        <v>273</v>
      </c>
      <c r="C228" s="42" t="str">
        <f>HYPERLINK("https://support.industry.siemens.com/cs/ww/en/view/65222851","SIMOTICS T-1FW6 built-in torque motors")</f>
        <v>SIMOTICS T-1FW6 built-in torque motors</v>
      </c>
      <c r="D228" s="23" t="str">
        <f>"07/2017"</f>
        <v>07/2017</v>
      </c>
      <c r="E228" s="23" t="s">
        <v>317</v>
      </c>
      <c r="F228" s="23" t="s">
        <v>136</v>
      </c>
      <c r="G228" s="43" t="s">
        <v>136</v>
      </c>
      <c r="H228" s="44"/>
      <c r="I228" s="44"/>
    </row>
    <row r="229" spans="1:10" s="3" customFormat="1">
      <c r="A229" s="41"/>
      <c r="B229" s="23" t="s">
        <v>318</v>
      </c>
      <c r="C229" s="42" t="str">
        <f>HYPERLINK("https://support.industry.siemens.com/cs/ww/en/view/39708331","Drive technology, safety instructions for direct drives")</f>
        <v>Drive technology, safety instructions for direct drives</v>
      </c>
      <c r="D229" s="23" t="str">
        <f>"12/2011"</f>
        <v>12/2011</v>
      </c>
      <c r="E229" s="23" t="s">
        <v>319</v>
      </c>
      <c r="F229" s="23" t="s">
        <v>136</v>
      </c>
      <c r="G229" s="43" t="s">
        <v>136</v>
      </c>
      <c r="H229" s="44"/>
      <c r="I229" s="44"/>
    </row>
    <row r="230" spans="1:10">
      <c r="A230" s="32" t="s">
        <v>320</v>
      </c>
      <c r="B230" s="33"/>
      <c r="C230" s="34"/>
      <c r="D230" s="33"/>
      <c r="E230" s="33"/>
      <c r="F230" s="35"/>
      <c r="G230" s="36"/>
      <c r="H230" s="46"/>
      <c r="I230" s="23"/>
      <c r="J230" s="2"/>
    </row>
    <row r="231" spans="1:10" s="3" customFormat="1">
      <c r="A231" s="41"/>
      <c r="B231" s="23" t="s">
        <v>203</v>
      </c>
      <c r="C231" s="42" t="str">
        <f>HYPERLINK("https://support.industry.siemens.com/cs/ww/en/view/45531551","SIMATIC Working with STEP 7 V5.5")</f>
        <v>SIMATIC Working with STEP 7 V5.5</v>
      </c>
      <c r="D231" s="23" t="str">
        <f>"05/2010"</f>
        <v>05/2010</v>
      </c>
      <c r="E231" s="23"/>
      <c r="F231" s="23" t="s">
        <v>136</v>
      </c>
      <c r="G231" s="43" t="s">
        <v>136</v>
      </c>
      <c r="H231" s="44"/>
      <c r="I231" s="44"/>
    </row>
    <row r="232" spans="1:10" s="3" customFormat="1">
      <c r="A232" s="41"/>
      <c r="B232" s="23" t="s">
        <v>139</v>
      </c>
      <c r="C232" s="42" t="str">
        <f>HYPERLINK("https://support.industry.siemens.com/cs/ww/en/view/109751825","SIMATIC Programming with STEP 7")</f>
        <v>SIMATIC Programming with STEP 7</v>
      </c>
      <c r="D232" s="23" t="str">
        <f>"04/2017"</f>
        <v>04/2017</v>
      </c>
      <c r="E232" s="23"/>
      <c r="F232" s="23" t="s">
        <v>136</v>
      </c>
      <c r="G232" s="43" t="s">
        <v>136</v>
      </c>
      <c r="H232" s="44"/>
      <c r="I232" s="44"/>
    </row>
    <row r="233" spans="1:10" s="3" customFormat="1" ht="30">
      <c r="A233" s="41"/>
      <c r="B233" s="23" t="s">
        <v>139</v>
      </c>
      <c r="C233" s="42" t="str">
        <f>HYPERLINK("https://support.industry.siemens.com/cs/ww/en/view/109751824","SIMATIC Configuring Hardware and Communication Connections STEP 7")</f>
        <v>SIMATIC Configuring Hardware and Communication Connections STEP 7</v>
      </c>
      <c r="D233" s="23" t="str">
        <f>"04/2017"</f>
        <v>04/2017</v>
      </c>
      <c r="E233" s="23"/>
      <c r="F233" s="23" t="s">
        <v>136</v>
      </c>
      <c r="G233" s="43" t="s">
        <v>136</v>
      </c>
      <c r="H233" s="44"/>
      <c r="I233" s="44"/>
    </row>
    <row r="234" spans="1:10" s="3" customFormat="1">
      <c r="A234" s="41"/>
      <c r="B234" s="23" t="s">
        <v>139</v>
      </c>
      <c r="C234" s="42" t="str">
        <f>HYPERLINK("https://support.industry.siemens.com/cs/ww/en/view/109751823","SIMATIC Ladder Logic (LAD) for S7-300 and S7-400 Programming")</f>
        <v>SIMATIC Ladder Logic (LAD) for S7-300 and S7-400 Programming</v>
      </c>
      <c r="D234" s="23" t="str">
        <f>"04/2017"</f>
        <v>04/2017</v>
      </c>
      <c r="E234" s="23"/>
      <c r="F234" s="23" t="s">
        <v>136</v>
      </c>
      <c r="G234" s="43" t="s">
        <v>136</v>
      </c>
      <c r="H234" s="44"/>
      <c r="I234" s="44"/>
    </row>
    <row r="235" spans="1:10" s="3" customFormat="1" ht="30">
      <c r="A235" s="41"/>
      <c r="B235" s="23" t="s">
        <v>139</v>
      </c>
      <c r="C235" s="42" t="str">
        <f>HYPERLINK("https://support.industry.siemens.com/cs/ww/en/view/109751819","SIMATIC Function Block Diagram (FBD) for S7-300 and S7-400 Programming")</f>
        <v>SIMATIC Function Block Diagram (FBD) for S7-300 and S7-400 Programming</v>
      </c>
      <c r="D235" s="23" t="str">
        <f>"04/2017"</f>
        <v>04/2017</v>
      </c>
      <c r="E235" s="23"/>
      <c r="F235" s="23" t="s">
        <v>136</v>
      </c>
      <c r="G235" s="43" t="s">
        <v>136</v>
      </c>
      <c r="H235" s="44"/>
      <c r="I235" s="44"/>
    </row>
    <row r="236" spans="1:10" s="3" customFormat="1">
      <c r="A236" s="41"/>
      <c r="B236" s="23" t="s">
        <v>139</v>
      </c>
      <c r="C236" s="42" t="str">
        <f>HYPERLINK("https://support.industry.siemens.com/cs/ww/en/view/109751814","SIMATIC Statement List (STL) for S7-300 and S7-400 Programming")</f>
        <v>SIMATIC Statement List (STL) for S7-300 and S7-400 Programming</v>
      </c>
      <c r="D236" s="23" t="str">
        <f>"04/2017"</f>
        <v>04/2017</v>
      </c>
      <c r="E236" s="23"/>
      <c r="F236" s="23" t="s">
        <v>136</v>
      </c>
      <c r="G236" s="43" t="s">
        <v>136</v>
      </c>
      <c r="H236" s="44"/>
      <c r="I236" s="44"/>
    </row>
    <row r="237" spans="1:10" s="3" customFormat="1" ht="30">
      <c r="A237" s="41"/>
      <c r="B237" s="23" t="s">
        <v>170</v>
      </c>
      <c r="C237" s="42" t="str">
        <f>HYPERLINK("https://support.industry.siemens.com/cs/ww/en/view/44240604","System Software for S7-300/400 System and Standard Functions Volume 1 and Volume 2")</f>
        <v>System Software for S7-300/400 System and Standard Functions Volume 1 and Volume 2</v>
      </c>
      <c r="D237" s="23" t="str">
        <f>"05/2010"</f>
        <v>05/2010</v>
      </c>
      <c r="E237" s="23"/>
      <c r="F237" s="23" t="s">
        <v>136</v>
      </c>
      <c r="G237" s="43" t="s">
        <v>136</v>
      </c>
      <c r="H237" s="44"/>
      <c r="I237" s="44"/>
    </row>
    <row r="238" spans="1:10" s="3" customFormat="1">
      <c r="A238" s="41"/>
      <c r="B238" s="23" t="s">
        <v>150</v>
      </c>
      <c r="C238" s="42" t="str">
        <f>HYPERLINK("https://support.industry.siemens.com/cs/ww/en/view/12996906","SIMATIC S7-300 CPU 31xC and CPU 31x: Technical specifications")</f>
        <v>SIMATIC S7-300 CPU 31xC and CPU 31x: Technical specifications</v>
      </c>
      <c r="D238" s="23" t="str">
        <f>"03/2011"</f>
        <v>03/2011</v>
      </c>
      <c r="E238" s="23"/>
      <c r="F238" s="23" t="s">
        <v>136</v>
      </c>
      <c r="G238" s="43" t="s">
        <v>136</v>
      </c>
      <c r="H238" s="44"/>
      <c r="I238" s="44"/>
    </row>
    <row r="239" spans="1:10" s="3" customFormat="1">
      <c r="A239" s="41"/>
      <c r="B239" s="23" t="s">
        <v>135</v>
      </c>
      <c r="C239" s="42" t="str">
        <f>HYPERLINK("https://support.industry.siemens.com/cs/ww/en/view/8860591","SIMATIC PLC S7-300, CPU Specifications CPU 312 IFM to CPU 318-2 DP")</f>
        <v>SIMATIC PLC S7-300, CPU Specifications CPU 312 IFM to CPU 318-2 DP</v>
      </c>
      <c r="D239" s="23" t="str">
        <f>"10/2001"</f>
        <v>10/2001</v>
      </c>
      <c r="E239" s="23"/>
      <c r="F239" s="23" t="s">
        <v>136</v>
      </c>
      <c r="G239" s="43" t="s">
        <v>136</v>
      </c>
      <c r="H239" s="44"/>
      <c r="I239" s="44"/>
    </row>
    <row r="240" spans="1:10" s="3" customFormat="1">
      <c r="A240" s="41"/>
      <c r="B240" s="23" t="s">
        <v>165</v>
      </c>
      <c r="C240" s="42" t="str">
        <f>HYPERLINK("https://support.industry.siemens.com/cs/ww/en/view/31977679","SIMATIC S7-300 Instruction list S7-300 CPUs and ET 200 CPUs")</f>
        <v>SIMATIC S7-300 Instruction list S7-300 CPUs and ET 200 CPUs</v>
      </c>
      <c r="D240" s="23" t="str">
        <f>"06/2011"</f>
        <v>06/2011</v>
      </c>
      <c r="E240" s="23"/>
      <c r="F240" s="23" t="s">
        <v>136</v>
      </c>
      <c r="G240" s="43" t="s">
        <v>136</v>
      </c>
      <c r="H240" s="44"/>
      <c r="I240" s="44"/>
    </row>
    <row r="241" spans="1:9" s="3" customFormat="1">
      <c r="A241" s="41"/>
      <c r="B241" s="23" t="s">
        <v>273</v>
      </c>
      <c r="C241" s="42" t="str">
        <f>HYPERLINK("https://support.industry.siemens.com/cs/ww/en/view/12429336","SIMATIC S7-300 CPU 31xC Technological Functions")</f>
        <v>SIMATIC S7-300 CPU 31xC Technological Functions</v>
      </c>
      <c r="D241" s="23" t="str">
        <f>"03/2011"</f>
        <v>03/2011</v>
      </c>
      <c r="E241" s="23"/>
      <c r="F241" s="23" t="s">
        <v>136</v>
      </c>
      <c r="G241" s="43" t="s">
        <v>136</v>
      </c>
      <c r="H241" s="44"/>
      <c r="I241" s="44"/>
    </row>
    <row r="242" spans="1:9" s="3" customFormat="1">
      <c r="A242" s="41"/>
      <c r="B242" s="23" t="s">
        <v>137</v>
      </c>
      <c r="C242" s="42" t="str">
        <f>HYPERLINK("https://support.industry.siemens.com/cs/ww/en/view/1109582","S7-200 System Manual")</f>
        <v>S7-200 System Manual</v>
      </c>
      <c r="D242" s="23" t="str">
        <f>"08/2008"</f>
        <v>08/2008</v>
      </c>
      <c r="E242" s="23" t="s">
        <v>321</v>
      </c>
      <c r="F242" s="23" t="s">
        <v>136</v>
      </c>
      <c r="G242" s="43" t="s">
        <v>136</v>
      </c>
      <c r="H242" s="44"/>
      <c r="I242" s="44"/>
    </row>
    <row r="243" spans="1:9" s="3" customFormat="1">
      <c r="A243" s="41"/>
      <c r="B243" s="23" t="s">
        <v>137</v>
      </c>
      <c r="C243" s="42" t="str">
        <f>HYPERLINK("https://support.industry.siemens.com/cs/ww/en/view/1109154","S7-200 Programmable Controller, CPU21x")</f>
        <v>S7-200 Programmable Controller, CPU21x</v>
      </c>
      <c r="D243" s="23" t="str">
        <f>"02"</f>
        <v>02</v>
      </c>
      <c r="E243" s="23" t="s">
        <v>322</v>
      </c>
      <c r="F243" s="23" t="s">
        <v>136</v>
      </c>
      <c r="G243" s="43" t="s">
        <v>136</v>
      </c>
      <c r="H243" s="44"/>
      <c r="I243" s="44"/>
    </row>
    <row r="244" spans="1:9" s="3" customFormat="1">
      <c r="A244" s="41"/>
      <c r="B244" s="23" t="s">
        <v>137</v>
      </c>
      <c r="C244" s="42" t="str">
        <f>HYPERLINK("https://support.industry.siemens.com/cs/ww/en/view/19292127","SIMATIC PROFINET System Description")</f>
        <v>SIMATIC PROFINET System Description</v>
      </c>
      <c r="D244" s="23" t="str">
        <f>"03/2012"</f>
        <v>03/2012</v>
      </c>
      <c r="E244" s="23"/>
      <c r="F244" s="23" t="s">
        <v>136</v>
      </c>
      <c r="G244" s="43" t="s">
        <v>136</v>
      </c>
      <c r="H244" s="44"/>
      <c r="I244" s="44"/>
    </row>
    <row r="245" spans="1:9" s="3" customFormat="1">
      <c r="A245" s="41"/>
      <c r="B245" s="23" t="s">
        <v>137</v>
      </c>
      <c r="C245" s="42" t="str">
        <f>HYPERLINK("https://support.industry.siemens.com/cs/ww/en/view/25074283","SIMATIC Communication with SIMATIC")</f>
        <v>SIMATIC Communication with SIMATIC</v>
      </c>
      <c r="D245" s="23" t="str">
        <f>"09/2006"</f>
        <v>09/2006</v>
      </c>
      <c r="E245" s="23" t="s">
        <v>323</v>
      </c>
      <c r="F245" s="23" t="s">
        <v>136</v>
      </c>
      <c r="G245" s="43" t="s">
        <v>136</v>
      </c>
      <c r="H245" s="44"/>
      <c r="I245" s="44"/>
    </row>
    <row r="246" spans="1:9" s="3" customFormat="1" ht="30">
      <c r="A246" s="41"/>
      <c r="B246" s="23" t="s">
        <v>137</v>
      </c>
      <c r="C246" s="42" t="str">
        <f>HYPERLINK("https://support.industry.siemens.com/cs/ww/en/view/77376110","SIMATIC NET PC software Industrial Communication with PG/PC Volume 1 - Basics System Manual")</f>
        <v>SIMATIC NET PC software Industrial Communication with PG/PC Volume 1 - Basics System Manual</v>
      </c>
      <c r="D246" s="23" t="str">
        <f>"12/2016"</f>
        <v>12/2016</v>
      </c>
      <c r="E246" s="23"/>
      <c r="F246" s="23" t="s">
        <v>136</v>
      </c>
      <c r="G246" s="43" t="s">
        <v>136</v>
      </c>
      <c r="H246" s="44"/>
      <c r="I246" s="44"/>
    </row>
    <row r="247" spans="1:9" s="3" customFormat="1" ht="30">
      <c r="A247" s="41"/>
      <c r="B247" s="23" t="s">
        <v>145</v>
      </c>
      <c r="C247" s="42" t="str">
        <f>HYPERLINK("https://support.industry.siemens.com/cs/ww/en/view/77378184","SIMATIC NET: PC software Industrial Communication with PG/PC Volume 2 - Interfaces")</f>
        <v>SIMATIC NET: PC software Industrial Communication with PG/PC Volume 2 - Interfaces</v>
      </c>
      <c r="D247" s="23" t="str">
        <f>"11/2018"</f>
        <v>11/2018</v>
      </c>
      <c r="E247" s="23"/>
      <c r="F247" s="23" t="s">
        <v>136</v>
      </c>
      <c r="G247" s="43" t="s">
        <v>136</v>
      </c>
      <c r="H247" s="44"/>
      <c r="I247" s="44"/>
    </row>
    <row r="248" spans="1:9" s="3" customFormat="1">
      <c r="A248" s="41"/>
      <c r="B248" s="23" t="s">
        <v>273</v>
      </c>
      <c r="C248" s="42" t="str">
        <f>HYPERLINK("https://support.industry.siemens.com/cs/ww/en/view/8763736","SIMATIC NET Twisted-Pair and Fiber-Optic Networks")</f>
        <v>SIMATIC NET Twisted-Pair and Fiber-Optic Networks</v>
      </c>
      <c r="D248" s="23" t="str">
        <f>"05/2001"</f>
        <v>05/2001</v>
      </c>
      <c r="E248" s="23" t="s">
        <v>324</v>
      </c>
      <c r="F248" s="23" t="s">
        <v>136</v>
      </c>
      <c r="G248" s="43" t="s">
        <v>136</v>
      </c>
      <c r="H248" s="44"/>
      <c r="I248" s="44"/>
    </row>
    <row r="249" spans="1:9" s="3" customFormat="1">
      <c r="A249" s="41"/>
      <c r="B249" s="23" t="s">
        <v>273</v>
      </c>
      <c r="C249" s="42" t="str">
        <f>HYPERLINK("https://support.industry.siemens.com/cs/ww/en/view/109756665","SIMATIC HMI Industrial Thin Clients ITC V3, ITC V3 PRO")</f>
        <v>SIMATIC HMI Industrial Thin Clients ITC V3, ITC V3 PRO</v>
      </c>
      <c r="D249" s="23" t="str">
        <f>"09/2018"</f>
        <v>09/2018</v>
      </c>
      <c r="E249" s="23"/>
      <c r="F249" s="23" t="s">
        <v>136</v>
      </c>
      <c r="G249" s="43" t="s">
        <v>136</v>
      </c>
      <c r="H249" s="44"/>
      <c r="I249" s="44"/>
    </row>
    <row r="250" spans="1:9" s="3" customFormat="1">
      <c r="A250" s="41"/>
      <c r="B250" s="23" t="s">
        <v>273</v>
      </c>
      <c r="C250" s="42" t="str">
        <f>HYPERLINK("https://support.industry.siemens.com/cs/ww/en/view/31247475","SIMATIC HMI HMI device MP 177 (WinCC flexible)")</f>
        <v>SIMATIC HMI HMI device MP 177 (WinCC flexible)</v>
      </c>
      <c r="D250" s="23" t="str">
        <f>"08/2008"</f>
        <v>08/2008</v>
      </c>
      <c r="E250" s="23" t="s">
        <v>325</v>
      </c>
      <c r="F250" s="23" t="s">
        <v>136</v>
      </c>
      <c r="G250" s="43" t="s">
        <v>136</v>
      </c>
      <c r="H250" s="44"/>
      <c r="I250" s="44"/>
    </row>
    <row r="251" spans="1:9" s="3" customFormat="1" ht="30">
      <c r="A251" s="41"/>
      <c r="B251" s="23" t="s">
        <v>273</v>
      </c>
      <c r="C251" s="42" t="str">
        <f>HYPERLINK("https://support.industry.siemens.com/cs/ww/en/view/61187980","SIMATIC HMI HMI device Industrial Thin Client ITC1200, ITC1500, ITC1900, ITC2200")</f>
        <v>SIMATIC HMI HMI device Industrial Thin Client ITC1200, ITC1500, ITC1900, ITC2200</v>
      </c>
      <c r="D251" s="23" t="str">
        <f>"06/2015"</f>
        <v>06/2015</v>
      </c>
      <c r="E251" s="23"/>
      <c r="F251" s="23" t="s">
        <v>136</v>
      </c>
      <c r="G251" s="43" t="s">
        <v>136</v>
      </c>
      <c r="H251" s="44"/>
      <c r="I251" s="44"/>
    </row>
    <row r="252" spans="1:9" s="3" customFormat="1">
      <c r="A252" s="41"/>
      <c r="B252" s="23" t="s">
        <v>273</v>
      </c>
      <c r="C252" s="42" t="str">
        <f>HYPERLINK("https://support.industry.siemens.com/cs/ww/en/view/21896316","Mobile Panel 177 (WinCC flexible)")</f>
        <v>Mobile Panel 177 (WinCC flexible)</v>
      </c>
      <c r="D252" s="23" t="str">
        <f>"07/2005"</f>
        <v>07/2005</v>
      </c>
      <c r="E252" s="23" t="s">
        <v>326</v>
      </c>
      <c r="F252" s="23" t="s">
        <v>136</v>
      </c>
      <c r="G252" s="43" t="s">
        <v>136</v>
      </c>
      <c r="H252" s="44"/>
      <c r="I252" s="44"/>
    </row>
    <row r="253" spans="1:9" s="3" customFormat="1" ht="30">
      <c r="A253" s="41"/>
      <c r="B253" s="23" t="s">
        <v>273</v>
      </c>
      <c r="C253" s="42" t="str">
        <f>HYPERLINK("https://support.industry.siemens.com/cs/ww/en/view/102401328","SIMATIC NET Industrial Remote Communication - TeleControl MODEM MD720")</f>
        <v>SIMATIC NET Industrial Remote Communication - TeleControl MODEM MD720</v>
      </c>
      <c r="D253" s="23" t="str">
        <f>"07/2014"</f>
        <v>07/2014</v>
      </c>
      <c r="E253" s="23"/>
      <c r="F253" s="23" t="s">
        <v>136</v>
      </c>
      <c r="G253" s="43" t="s">
        <v>136</v>
      </c>
      <c r="H253" s="44"/>
      <c r="I253" s="44"/>
    </row>
    <row r="254" spans="1:9" s="3" customFormat="1">
      <c r="A254" s="41"/>
      <c r="B254" s="23" t="s">
        <v>273</v>
      </c>
      <c r="C254" s="42" t="str">
        <f>HYPERLINK("https://support.industry.siemens.com/cs/ww/en/view/1652551","SIMATIC NET DP Master Programming Interfaces")</f>
        <v>SIMATIC NET DP Master Programming Interfaces</v>
      </c>
      <c r="D254" s="23" t="str">
        <f>"07"</f>
        <v>07</v>
      </c>
      <c r="E254" s="23"/>
      <c r="F254" s="23" t="s">
        <v>136</v>
      </c>
      <c r="G254" s="43" t="s">
        <v>136</v>
      </c>
      <c r="H254" s="44"/>
      <c r="I254" s="44"/>
    </row>
    <row r="255" spans="1:9" s="3" customFormat="1">
      <c r="A255" s="41"/>
      <c r="B255" s="23" t="s">
        <v>273</v>
      </c>
      <c r="C255" s="42" t="str">
        <f>HYPERLINK("https://support.industry.siemens.com/cs/ww/en/view/1653427","SIMATIC NET FDL Programming Interface")</f>
        <v>SIMATIC NET FDL Programming Interface</v>
      </c>
      <c r="D255" s="23" t="str">
        <f>"05"</f>
        <v>05</v>
      </c>
      <c r="E255" s="23"/>
      <c r="F255" s="23" t="s">
        <v>136</v>
      </c>
      <c r="G255" s="43" t="s">
        <v>136</v>
      </c>
      <c r="H255" s="44"/>
      <c r="I255" s="44"/>
    </row>
    <row r="256" spans="1:9" s="3" customFormat="1" ht="30">
      <c r="A256" s="41"/>
      <c r="B256" s="23" t="s">
        <v>273</v>
      </c>
      <c r="C256" s="42" t="str">
        <f>HYPERLINK("https://support.industry.siemens.com/cs/ww/en/view/23119005","Antenna ANT794-4MR for LTE/UMTS/GSM Compact Operating Instructions")</f>
        <v>Antenna ANT794-4MR for LTE/UMTS/GSM Compact Operating Instructions</v>
      </c>
      <c r="D256" s="23" t="str">
        <f>"07/2014"</f>
        <v>07/2014</v>
      </c>
      <c r="E256" s="23"/>
      <c r="F256" s="23" t="s">
        <v>136</v>
      </c>
      <c r="G256" s="43" t="s">
        <v>136</v>
      </c>
      <c r="H256" s="44"/>
      <c r="I256" s="44"/>
    </row>
    <row r="257" spans="1:10" s="3" customFormat="1">
      <c r="A257" s="41"/>
      <c r="B257" s="23" t="s">
        <v>155</v>
      </c>
      <c r="C257" s="42" t="str">
        <f>HYPERLINK("https://support.industry.siemens.com/cs/ww/en/view/109760608","HMI Lite V8.2")</f>
        <v>HMI Lite V8.2</v>
      </c>
      <c r="D257" s="23" t="str">
        <f>"2018"</f>
        <v>2018</v>
      </c>
      <c r="E257" s="23"/>
      <c r="F257" s="23" t="s">
        <v>136</v>
      </c>
      <c r="G257" s="43" t="s">
        <v>136</v>
      </c>
      <c r="H257" s="44"/>
      <c r="I257" s="44"/>
    </row>
    <row r="258" spans="1:10">
      <c r="A258" s="32" t="s">
        <v>327</v>
      </c>
      <c r="B258" s="33"/>
      <c r="C258" s="34"/>
      <c r="D258" s="33"/>
      <c r="E258" s="33"/>
      <c r="F258" s="35"/>
      <c r="G258" s="36"/>
      <c r="H258" s="46"/>
      <c r="I258" s="23"/>
      <c r="J258" s="2"/>
    </row>
    <row r="259" spans="1:10" s="3" customFormat="1">
      <c r="A259" s="41"/>
      <c r="B259" s="23" t="s">
        <v>328</v>
      </c>
      <c r="C259" s="42" t="str">
        <f>HYPERLINK("https://support.industry.siemens.com/cs/ww/en/view/109749572","SINUMERIK 828D / SINUMERIK 840D sl SINUMERIK Operate - Turning")</f>
        <v>SINUMERIK 828D / SINUMERIK 840D sl SINUMERIK Operate - Turning</v>
      </c>
      <c r="D259" s="23" t="str">
        <f>"2017"</f>
        <v>2017</v>
      </c>
      <c r="E259" s="23"/>
      <c r="F259" s="23" t="s">
        <v>136</v>
      </c>
      <c r="G259" s="43" t="s">
        <v>136</v>
      </c>
      <c r="H259" s="44"/>
      <c r="I259" s="44"/>
    </row>
    <row r="260" spans="1:10" s="3" customFormat="1">
      <c r="A260" s="41"/>
      <c r="B260" s="23" t="s">
        <v>328</v>
      </c>
      <c r="C260" s="42" t="str">
        <f>HYPERLINK("https://support.industry.siemens.com/cs/ww/en/view/109747994","SINUMERIK 828D / SINUMERIK 840D sl SINUMERIK Operate - Milling")</f>
        <v>SINUMERIK 828D / SINUMERIK 840D sl SINUMERIK Operate - Milling</v>
      </c>
      <c r="D260" s="23" t="str">
        <f>"2017"</f>
        <v>2017</v>
      </c>
      <c r="E260" s="23"/>
      <c r="F260" s="23" t="s">
        <v>136</v>
      </c>
      <c r="G260" s="43" t="s">
        <v>136</v>
      </c>
      <c r="H260" s="44"/>
      <c r="I260" s="44"/>
    </row>
    <row r="261" spans="1:10" s="3" customFormat="1">
      <c r="A261" s="41"/>
      <c r="B261" s="23" t="s">
        <v>155</v>
      </c>
      <c r="C261" s="42" t="str">
        <f>HYPERLINK("https://support.industry.siemens.com/cs/ww/en/view/108862708","SINUMERIK / SIMOTION / SINAMICS Industrial Security")</f>
        <v>SINUMERIK / SIMOTION / SINAMICS Industrial Security</v>
      </c>
      <c r="D261" s="23" t="str">
        <f>"05/2017"</f>
        <v>05/2017</v>
      </c>
      <c r="E261" s="23" t="s">
        <v>329</v>
      </c>
      <c r="F261" s="23" t="s">
        <v>136</v>
      </c>
      <c r="G261" s="43" t="s">
        <v>136</v>
      </c>
      <c r="H261" s="44"/>
      <c r="I261" s="44"/>
    </row>
    <row r="262" spans="1:10" s="3" customFormat="1" ht="30">
      <c r="A262" s="41"/>
      <c r="B262" s="23" t="s">
        <v>330</v>
      </c>
      <c r="C262" s="42" t="str">
        <f>HYPERLINK("https://support.industry.siemens.com/cs/ww/en/view/109762409","Milling with SINUMERIK, Mold making with 3 to 5-axis simultaneous milling")</f>
        <v>Milling with SINUMERIK, Mold making with 3 to 5-axis simultaneous milling</v>
      </c>
      <c r="D262" s="23" t="str">
        <f>"09/2018"</f>
        <v>09/2018</v>
      </c>
      <c r="E262" s="23" t="s">
        <v>331</v>
      </c>
      <c r="F262" s="23" t="s">
        <v>136</v>
      </c>
      <c r="G262" s="43" t="s">
        <v>136</v>
      </c>
      <c r="H262" s="44"/>
      <c r="I262" s="44"/>
    </row>
    <row r="263" spans="1:10" s="3" customFormat="1">
      <c r="A263" s="41"/>
      <c r="B263" s="23" t="s">
        <v>170</v>
      </c>
      <c r="C263" s="42" t="str">
        <f>HYPERLINK("https://support.industry.siemens.com/cs/ww/en/view/104466659","SINUMERIK 840D sl - Glossary, Functions and terms")</f>
        <v>SINUMERIK 840D sl - Glossary, Functions and terms</v>
      </c>
      <c r="D263" s="23" t="str">
        <f>"2017"</f>
        <v>2017</v>
      </c>
      <c r="E263" s="23"/>
      <c r="F263" s="23" t="s">
        <v>136</v>
      </c>
      <c r="G263" s="43" t="s">
        <v>136</v>
      </c>
      <c r="H263" s="44"/>
      <c r="I263" s="44"/>
    </row>
    <row r="264" spans="1:10" s="3" customFormat="1">
      <c r="A264" s="41"/>
      <c r="B264" s="23" t="s">
        <v>171</v>
      </c>
      <c r="C264" s="42" t="str">
        <f>HYPERLINK("https://support.industry.siemens.com/cs/de/de/view/109481838","SIMOTICS servomotors, Technical definitions for AC motors")</f>
        <v>SIMOTICS servomotors, Technical definitions for AC motors</v>
      </c>
      <c r="D264" s="23" t="str">
        <f>"2016"</f>
        <v>2016</v>
      </c>
      <c r="E264" s="23"/>
      <c r="F264" s="23" t="s">
        <v>136</v>
      </c>
      <c r="G264" s="43"/>
      <c r="H264" s="44"/>
      <c r="I264" s="44"/>
    </row>
    <row r="265" spans="1:10" s="3" customFormat="1">
      <c r="A265" s="41"/>
      <c r="B265" s="23" t="s">
        <v>330</v>
      </c>
      <c r="C265" s="42" t="str">
        <f>HYPERLINK("https://support.industry.siemens.com/cs/ww/en/view/109741625","SINUMERIK 828D/840D sl Operating and Programming - Milling")</f>
        <v>SINUMERIK 828D/840D sl Operating and Programming - Milling</v>
      </c>
      <c r="D265" s="23" t="str">
        <f>"02/2016"</f>
        <v>02/2016</v>
      </c>
      <c r="E265" s="23" t="s">
        <v>332</v>
      </c>
      <c r="F265" s="23" t="s">
        <v>136</v>
      </c>
      <c r="G265" s="43" t="s">
        <v>136</v>
      </c>
      <c r="H265" s="44"/>
      <c r="I265" s="44"/>
    </row>
    <row r="266" spans="1:10" s="3" customFormat="1">
      <c r="A266" s="41"/>
      <c r="B266" s="23" t="s">
        <v>330</v>
      </c>
      <c r="C266" s="42" t="str">
        <f>HYPERLINK("https://support.industry.siemens.com/cs/ww/en/view/109741626","SINUMERIK 828D/840D sl Operating and Programming - Turning")</f>
        <v>SINUMERIK 828D/840D sl Operating and Programming - Turning</v>
      </c>
      <c r="D266" s="23" t="str">
        <f>"02/2016"</f>
        <v>02/2016</v>
      </c>
      <c r="E266" s="23" t="s">
        <v>333</v>
      </c>
      <c r="F266" s="23" t="s">
        <v>136</v>
      </c>
      <c r="G266" s="43" t="s">
        <v>136</v>
      </c>
      <c r="H266" s="44"/>
      <c r="I266" s="44"/>
    </row>
    <row r="267" spans="1:10" s="3" customFormat="1">
      <c r="A267" s="41"/>
      <c r="B267" s="23" t="s">
        <v>330</v>
      </c>
      <c r="C267" s="42" t="str">
        <f>HYPERLINK("https://support.industry.siemens.com/cs/ww/en/view/58503317","SINUMERIK Operate SINUTRAIN Easy milling with ShopMill")</f>
        <v>SINUMERIK Operate SINUTRAIN Easy milling with ShopMill</v>
      </c>
      <c r="D267" s="23" t="str">
        <f>"09/2011"</f>
        <v>09/2011</v>
      </c>
      <c r="E267" s="23" t="s">
        <v>334</v>
      </c>
      <c r="F267" s="23" t="s">
        <v>136</v>
      </c>
      <c r="G267" s="43" t="s">
        <v>136</v>
      </c>
      <c r="H267" s="44"/>
      <c r="I267" s="44"/>
    </row>
    <row r="268" spans="1:10" s="3" customFormat="1">
      <c r="A268" s="41"/>
      <c r="B268" s="23" t="s">
        <v>330</v>
      </c>
      <c r="C268" s="42" t="str">
        <f>HYPERLINK("https://support.industry.siemens.com/cs/ww/en/view/58516034","SINUMERIK Operate SINUTRAIN Turning made easy with ShopTurn")</f>
        <v>SINUMERIK Operate SINUTRAIN Turning made easy with ShopTurn</v>
      </c>
      <c r="D268" s="23" t="str">
        <f>"09/2011"</f>
        <v>09/2011</v>
      </c>
      <c r="E268" s="23" t="s">
        <v>335</v>
      </c>
      <c r="F268" s="23" t="s">
        <v>136</v>
      </c>
      <c r="G268" s="43" t="s">
        <v>136</v>
      </c>
      <c r="H268" s="44"/>
      <c r="I268" s="44"/>
    </row>
    <row r="269" spans="1:10" s="3" customFormat="1">
      <c r="A269" s="41"/>
      <c r="B269" s="23" t="s">
        <v>143</v>
      </c>
      <c r="C269" s="42" t="str">
        <f>HYPERLINK("https://support.industry.siemens.com/cs/ww/en/view/109759796","SINUTRAIN for SINUMERIK Operate")</f>
        <v>SINUTRAIN for SINUMERIK Operate</v>
      </c>
      <c r="D269" s="23" t="str">
        <f>"01/2018"</f>
        <v>01/2018</v>
      </c>
      <c r="E269" s="23"/>
      <c r="F269" s="23" t="s">
        <v>136</v>
      </c>
      <c r="G269" s="43" t="s">
        <v>136</v>
      </c>
      <c r="H269" s="44"/>
      <c r="I269" s="44"/>
    </row>
    <row r="270" spans="1:10">
      <c r="A270" s="32" t="s">
        <v>336</v>
      </c>
      <c r="B270" s="33"/>
      <c r="C270" s="33"/>
      <c r="D270" s="33"/>
      <c r="E270" s="33"/>
      <c r="F270" s="33"/>
      <c r="G270" s="52"/>
      <c r="H270" s="46"/>
      <c r="I270" s="23"/>
      <c r="J270" s="2"/>
    </row>
    <row r="271" spans="1:10" s="3" customFormat="1">
      <c r="A271" s="41"/>
      <c r="B271" s="23" t="s">
        <v>171</v>
      </c>
      <c r="C271" s="23" t="s">
        <v>337</v>
      </c>
      <c r="D271" s="23" t="str">
        <f>"2018"</f>
        <v>2018</v>
      </c>
      <c r="E271" s="23"/>
      <c r="F271" s="23" t="s">
        <v>136</v>
      </c>
      <c r="G271" s="43" t="s">
        <v>136</v>
      </c>
      <c r="H271" s="44"/>
      <c r="I271" s="44"/>
    </row>
    <row r="272" spans="1:10" s="3" customFormat="1">
      <c r="A272" s="41"/>
      <c r="B272" s="23" t="s">
        <v>171</v>
      </c>
      <c r="C272" s="23" t="s">
        <v>338</v>
      </c>
      <c r="D272" s="23" t="str">
        <f>"2018"</f>
        <v>2018</v>
      </c>
      <c r="E272" s="23"/>
      <c r="F272" s="23" t="s">
        <v>136</v>
      </c>
      <c r="G272" s="43" t="s">
        <v>136</v>
      </c>
      <c r="H272" s="44"/>
      <c r="I272" s="44"/>
    </row>
    <row r="273" spans="1:9" s="3" customFormat="1">
      <c r="A273" s="41"/>
      <c r="B273" s="23" t="s">
        <v>171</v>
      </c>
      <c r="C273" s="23" t="s">
        <v>339</v>
      </c>
      <c r="D273" s="23" t="str">
        <f>"2018"</f>
        <v>2018</v>
      </c>
      <c r="E273" s="23"/>
      <c r="F273" s="23" t="s">
        <v>136</v>
      </c>
      <c r="G273" s="43" t="s">
        <v>136</v>
      </c>
      <c r="H273" s="44"/>
      <c r="I273" s="44"/>
    </row>
    <row r="274" spans="1:9" s="3" customFormat="1" ht="15.75" thickBot="1">
      <c r="A274" s="53"/>
      <c r="B274" s="54" t="s">
        <v>171</v>
      </c>
      <c r="C274" s="54" t="s">
        <v>340</v>
      </c>
      <c r="D274" s="54" t="str">
        <f>"2018"</f>
        <v>2018</v>
      </c>
      <c r="E274" s="54"/>
      <c r="F274" s="54" t="s">
        <v>136</v>
      </c>
      <c r="G274" s="55" t="s">
        <v>136</v>
      </c>
      <c r="H274" s="44"/>
      <c r="I274" s="44"/>
    </row>
    <row r="275" spans="1:9">
      <c r="A275" s="23"/>
      <c r="B275" s="23"/>
      <c r="C275" s="23"/>
      <c r="D275" s="23"/>
      <c r="E275" s="23"/>
      <c r="F275" s="23"/>
      <c r="G275" s="23"/>
      <c r="H275" s="23"/>
      <c r="I275" s="23"/>
    </row>
    <row r="276" spans="1:9">
      <c r="A276" s="23"/>
      <c r="B276" s="23"/>
      <c r="C276" s="23"/>
      <c r="D276" s="23"/>
      <c r="E276" s="23"/>
      <c r="F276" s="23"/>
      <c r="G276" s="23"/>
      <c r="H276" s="23"/>
      <c r="I276" s="23"/>
    </row>
    <row r="277" spans="1:9">
      <c r="A277" s="23"/>
      <c r="B277" s="23"/>
      <c r="C277" s="23"/>
      <c r="D277" s="23"/>
      <c r="E277" s="23"/>
      <c r="F277" s="23"/>
      <c r="G277" s="23"/>
      <c r="H277" s="23"/>
      <c r="I277" s="23"/>
    </row>
    <row r="278" spans="1:9">
      <c r="A278" s="23"/>
      <c r="B278" s="23"/>
      <c r="C278" s="23"/>
      <c r="D278" s="23"/>
      <c r="E278" s="23"/>
      <c r="F278" s="23"/>
      <c r="G278" s="23"/>
      <c r="H278" s="23"/>
      <c r="I278" s="23"/>
    </row>
    <row r="279" spans="1:9">
      <c r="A279" s="23"/>
      <c r="B279" s="23"/>
      <c r="C279" s="23"/>
      <c r="D279" s="23"/>
      <c r="E279" s="23"/>
      <c r="F279" s="23"/>
      <c r="G279" s="23"/>
      <c r="H279" s="23"/>
      <c r="I279" s="23"/>
    </row>
    <row r="280" spans="1:9">
      <c r="A280" s="23"/>
      <c r="B280" s="23"/>
      <c r="C280" s="23"/>
      <c r="D280" s="23"/>
      <c r="E280" s="23"/>
      <c r="F280" s="23"/>
      <c r="G280" s="23"/>
      <c r="H280" s="23"/>
      <c r="I280" s="23"/>
    </row>
    <row r="281" spans="1:9">
      <c r="A281" s="23"/>
      <c r="B281" s="23"/>
      <c r="C281" s="23"/>
      <c r="D281" s="23"/>
      <c r="E281" s="23"/>
      <c r="F281" s="23"/>
      <c r="G281" s="23"/>
      <c r="H281" s="23"/>
      <c r="I281" s="23"/>
    </row>
  </sheetData>
  <sheetProtection algorithmName="SHA-512" hashValue="TutWWrVV3S9PPB8a6/Sa9ftHxEjVT5mp5PSdir3PDwwaEf1PiLe9MsS0RAGFk1zCsrK0M+1/nHSeN2mGmMlKzQ==" saltValue="T3F5QXvl1s99HpPdjv3rQg==" spinCount="100000" sheet="1" objects="1" scenarios="1"/>
  <mergeCells count="1">
    <mergeCell ref="F5:G5"/>
  </mergeCells>
  <hyperlinks>
    <hyperlink ref="C9" r:id="rId1" display="SINUMERIK 840D sl/828D Universal" xr:uid="{FC65A2BE-D8CE-498B-9613-2B8AA1B61D1C}"/>
    <hyperlink ref="C10" r:id="rId2" display="SINUMERIK 840D sl/828D Turning" xr:uid="{59DBCE26-538D-405C-B038-1C6EF8939A65}"/>
    <hyperlink ref="C11" r:id="rId3" display="SINUMERIK 840D sl/828D Milling" xr:uid="{E5CF9FE6-77BB-49A1-812E-79ACF2E7B920}"/>
    <hyperlink ref="C12" r:id="rId4" display="SINUMERIK 840D sl/828D grinding" xr:uid="{0BFB77B0-1665-4F32-BC29-664426C1C4DD}"/>
    <hyperlink ref="C13" r:id="rId5" display="SINUMERIK 840Di sl/840D sl/840D HMI-Advanced" xr:uid="{A6CF3A1F-5B47-408D-9190-BD80A0CC0936}"/>
    <hyperlink ref="C14" r:id="rId6" display="SINUMERIK 840D sl Smart Operation" xr:uid="{3CEE1066-A640-4093-BA57-EB2C0C0C9289}"/>
    <hyperlink ref="C15" r:id="rId7" display="SINUMERIK 828D Smart Operation" xr:uid="{6D325A64-0F13-4843-9018-3A9A76BECA5B}"/>
    <hyperlink ref="C16" r:id="rId8" display="SINUMERIK 840D sl ShopMill" xr:uid="{97BBA348-FC58-404F-985F-4CE482088608}"/>
    <hyperlink ref="C17" r:id="rId9" display="SINUMERIK 840D sl ShopTurn" xr:uid="{3DE1E352-0CC1-49C2-8AD9-B54DFAD93277}"/>
    <hyperlink ref="C18" r:id="rId10" display="SINUMERIK 840D sl SINAMICS S120 Alarms" xr:uid="{2DEB3C29-DFF5-43BD-B4B7-FE8C87117B9D}"/>
    <hyperlink ref="C19" r:id="rId11" display="SINUMERIK 828D SINAMICS S120 Alarms" xr:uid="{6CDED42E-D361-4E17-BDBF-E823E99C8063}"/>
    <hyperlink ref="C21" r:id="rId12" display="SINUMERIK 840D sl / 828D Fundamentals" xr:uid="{FC65EB43-E21A-42F1-81DD-D79C00FE5AA7}"/>
    <hyperlink ref="C22" r:id="rId13" display="SINUMERIK 840D sl / 828D Job Planning" xr:uid="{3AA48A2E-B32F-40CE-89ED-2730E1B6C8C6}"/>
    <hyperlink ref="C23" r:id="rId14" display="SINUMERIK 840D sl / 828D Measuring Cycles" xr:uid="{29F8828D-19C2-4574-A2C9-AA1E423A2D43}"/>
    <hyperlink ref="C24" r:id="rId15" display="SINUMERIK 840D sl / 828D ISO Turning" xr:uid="{7B90ECAF-882F-4411-9E2E-E50B8E7C1D4B}"/>
    <hyperlink ref="C25" r:id="rId16" display="SINUMERIK 840D sl / 828D ISO Milling" xr:uid="{486059AE-6688-43CB-BF10-D2C40897C5D1}"/>
    <hyperlink ref="C26" r:id="rId17" display="SINUMERIK 840D sl SINUMERIK Run MyRobot /Direct Control " xr:uid="{6CBD7B1C-1A70-41EB-A9B7-85FB4ED6C6A4}"/>
    <hyperlink ref="C29" r:id="rId18" display="SINUMERIK 840D sl operator components - TCU 30.3" xr:uid="{1E560B56-9CBF-4D9F-B8D8-8FE3B7855B29}"/>
    <hyperlink ref="C30" r:id="rId19" display="SINUMERIK 840D sl operator components - Operator panel front: OP 010" xr:uid="{B1DB1C99-DBC3-4137-9825-2E9391C322A6}"/>
    <hyperlink ref="C31" r:id="rId20" display="SINUMERIK 840D sl operator components - OP 015A" xr:uid="{3D608421-241F-408F-82D6-A2577790C850}"/>
    <hyperlink ref="C32" r:id="rId21" display="SINUMERIK 840D sl operator components - Operator panel front: OP 012" xr:uid="{06C63C8A-973E-4514-80BD-815FF6837B11}"/>
    <hyperlink ref="C33" r:id="rId22" display="SINUMERIK 840D sl operator components - TOP 1500, TOP 1900, TOP 2200" xr:uid="{B719ADA6-E029-4F78-821B-C7F5F47739E9}"/>
    <hyperlink ref="C34" r:id="rId23" display="SINUMERIK 840D sl operator components - MCP 398C" xr:uid="{97102027-6E31-45F4-8035-9C089284E5F7}"/>
    <hyperlink ref="C35" r:id="rId24" display="SINUMERIK 840D sl operator components - general information and networking" xr:uid="{8AFA8DCE-814E-4F1C-BA5F-6D3572CB2770}"/>
    <hyperlink ref="C36" r:id="rId25" display="SINUMERIK 840D sl operator components - handheld devices: Handheld Terminal HT 8" xr:uid="{C00A96C5-B30D-4102-9AE6-63769617050E}"/>
    <hyperlink ref="C37" r:id="rId26" display="SINUMERIK 840D sl NCU 7x0.3 PN, NCU 7x0.3B PN" xr:uid="{56B42FD3-A749-4633-B4A4-D6C46DFDBF3F}"/>
    <hyperlink ref="C38" r:id="rId27" display="SINUMERIK 840D sl NCU 7x0.2" xr:uid="{E90D5DE1-B9B4-44A3-92A2-BA11527EB93F}"/>
    <hyperlink ref="C39" r:id="rId28" display="SINUMERIK 840D sl / 840Di sl / 802D sl ADI4 - Analog drive interface for 4 axes" xr:uid="{31CF9A6D-C818-49D2-9223-94AF96F03962}"/>
    <hyperlink ref="C40" r:id="rId29" display="SINUMERIK 840D sl, SIMATIC HMI, SIMATIC Box PC ERGOline Stage 3" xr:uid="{20022EE1-65E2-4064-BF12-7C9AB28945F6}"/>
    <hyperlink ref="C41" r:id="rId30" display="SINUMERIK Integrate Create MyHMI /WinCC V15 (Update 1)" xr:uid="{09149F55-6BD1-428D-9EA3-7778361CB863}"/>
    <hyperlink ref="C42" r:id="rId31" display="SINUMERIK STEP 7 Toolbox V15" xr:uid="{3F019396-A840-40DA-8878-CE8FDAC47496}"/>
    <hyperlink ref="C43" r:id="rId32" display="SINUMERIK STEP 7 Toolbox V15" xr:uid="{A1F3908E-7133-4D91-A521-585A7E00EEF0}"/>
    <hyperlink ref="C44" r:id="rId33" display="EMC design guidelines configuration manual" xr:uid="{91ECA496-AF16-4A29-B70E-219D77BFB97B}"/>
    <hyperlink ref="C45" r:id="rId34" display="SINUMERIK 840D sl / 828D Ctrl-Energy" xr:uid="{3186B0A4-AF6E-4EEB-8ED2-E2CD4D77AFFB}"/>
    <hyperlink ref="C46" r:id="rId35" display="SINUMERIK 840D sl, SINAMICS S120 guide" xr:uid="{7B1B3053-31D8-45C1-9594-D03B284CC165}"/>
    <hyperlink ref="C47" r:id="rId36" display="SINUMERIK 840D sl/840Di sl/840D/840Di/810D, SinuCom Installation/Service Tools" xr:uid="{5991D368-2085-4AB8-9337-589039BC4A44}"/>
    <hyperlink ref="C49" r:id="rId37" display="SINUMERIK 840D sl Basesoftware and operating software" xr:uid="{13F411DE-FF5A-4B23-A388-54D5D2FE323D}"/>
    <hyperlink ref="C50" r:id="rId38" display="SINUMERIK 840D sl Commissioning CNC: NC, PLC, Drive" xr:uid="{8F6CF1A1-79C5-4996-851B-6D51315E6929}"/>
    <hyperlink ref="C51" r:id="rId39" display="SINUMERIK 840Di sl/840D sl/840D, Base software and HMI Advanced" xr:uid="{ADD655FE-80E6-428E-B519-5EEA8D5A4085}"/>
    <hyperlink ref="C52" r:id="rId40" display="SINUMERIK 840D sl CNC: ShopMill" xr:uid="{39DAEFFC-D743-4310-9A00-121FE4A50D9B}"/>
    <hyperlink ref="C53" r:id="rId41" display="SINUMERIK 840D sl CNC: ShopTurn" xr:uid="{47C4EBD6-3E0B-4E79-9BDF-E406FC9D8A00}"/>
    <hyperlink ref="C54" r:id="rId42" display="SINUMERIK 840D sl control system SINUMERIK Software Update Tool" xr:uid="{B0D315CD-49BA-487F-89DD-B2166B87B1EA}"/>
    <hyperlink ref="C55" r:id="rId43" display="SINUMERIK 840D sl SINUMERIK Run MyRobot /Direct Control" xr:uid="{6FDC08D0-BBAC-4D1A-BF21-502C0D4BE653}"/>
    <hyperlink ref="C56" r:id="rId44" display="SINUMERIK 840D sl, SINAMICS S120 machine data and parameters" xr:uid="{53EEF08B-BC3A-4AFA-B73B-0BB9643AA53A}"/>
    <hyperlink ref="C57" r:id="rId45" display="SINUMERIK 840D sl, NC variables and interface signals" xr:uid="{CA3AFBAD-D9C8-45C3-BDFC-DFED4A5714DB}"/>
    <hyperlink ref="C58" r:id="rId46" display="SINUMERIK 840D sl System variables" xr:uid="{56FE640E-410C-4B1E-B09B-77DA992D197F}"/>
    <hyperlink ref="C60" r:id="rId47" display="SINUMERIK Operate acceptance test" xr:uid="{E9D977EA-DC92-459D-A642-41553702AF74}"/>
    <hyperlink ref="C61" r:id="rId48" display="SINUMERIK 840D sl / 828D Basic Functions" xr:uid="{C118C157-24AC-496D-ABBE-9EF251E78D51}"/>
    <hyperlink ref="C62" r:id="rId49" display="SINUMERIK 840D sl / 828D Extended Functions" xr:uid="{D64464BD-D149-4093-AD24-C0199ACB39E6}"/>
    <hyperlink ref="C63" r:id="rId50" display="SINUMERIK 840D sl / 828D special functions" xr:uid="{F0B93E0F-B805-4734-9D92-590B02479CE0}"/>
    <hyperlink ref="C64" r:id="rId51" display="SINUMERIK 840D sl / 828D Synchronized Actions" xr:uid="{D4FA7A8C-D84D-4E67-AFEF-8DEA2DCAF97C}"/>
    <hyperlink ref="C65" r:id="rId52" display="SINUMERIK 840D sl  Tool Management" xr:uid="{443C4E1C-2FB4-43BC-A975-A06E3644D58B}"/>
    <hyperlink ref="C66" r:id="rId53" display="SINUMERIK 840D sl Safety Integrated plus" xr:uid="{376FC0DC-C392-46AD-83E4-7EA42310F7A6}"/>
    <hyperlink ref="C67" r:id="rId54" display="SINUMERIK 840D sl Safety Integrated" xr:uid="{17785069-08DA-45F4-B71E-7CCB564FA801}"/>
    <hyperlink ref="C68" r:id="rId55" display="SINUMERIK 840D sl/SINAMICS S120, SINUMERIK Safety Integrated" xr:uid="{F2C48E30-8D68-4CA1-85BC-4B11A985B57B}"/>
    <hyperlink ref="C69" r:id="rId56" display="SINUMERIK 840D sl / 828D ISO Dialects" xr:uid="{7381D4F1-DD62-458C-A807-981EF06D9E82}"/>
    <hyperlink ref="C70" r:id="rId57" display="SINUMERIK CNC - SINUMERIK 840D sl Overviews of functions" xr:uid="{10B2A87E-75B6-4907-8D2D-0F2167CFDA8A}"/>
    <hyperlink ref="C74" r:id="rId58" display="SINUMERIK 828D PPU and components" xr:uid="{80E97006-D48B-47A8-9952-CFE4E1A0815A}"/>
    <hyperlink ref="C75" r:id="rId59" display="SINUMERIK 840D sl / 828D Ctrl-Energy" xr:uid="{73DEE833-2177-4CFA-BA6D-3070F4E5540D}"/>
    <hyperlink ref="C77" r:id="rId60" display="SINUMERIK 828D SINAMICS S120 machine data" xr:uid="{B885D8E8-CBB5-4DF0-ACF0-E89745EA9CF9}"/>
    <hyperlink ref="C78" r:id="rId61" display="SINUMERIK 828D, NC variables and interface signals" xr:uid="{B330FB31-65A3-4772-9DA8-7BB4019D6C2D}"/>
    <hyperlink ref="C79" r:id="rId62" display="SINUMERIK 828D SINAMICS S120 Parameter description" xr:uid="{7E452F69-3DB6-44B0-9EA3-DF2B22C83408}"/>
    <hyperlink ref="C80" r:id="rId63" display="SINUMERIK 828D system variables" xr:uid="{0FDFC809-A265-4AC8-8F87-184A8C3D0403}"/>
    <hyperlink ref="C81" r:id="rId64" display="SINUMERIK 828D Commissioning" xr:uid="{C6F39C30-C88E-466A-92D0-773E858EE8AD}"/>
    <hyperlink ref="C82" r:id="rId65" display="SINUMERIK 828D Software and hardware" xr:uid="{766CD047-F672-41EC-ADA9-44E10FCA03CF}"/>
    <hyperlink ref="C84" r:id="rId66" display="SINUMERIK 840D sl / 828D Basic Functions" xr:uid="{6CC4D6C3-5DD6-48AC-891C-442BCAF350C2}"/>
    <hyperlink ref="C85" r:id="rId67" display="SINUMERIK 840D sl / 828D Extended Functions" xr:uid="{FA46F624-C9A3-42C2-86E1-03CD7CF3F7C6}"/>
    <hyperlink ref="C86" r:id="rId68" display="SINUMERIK 840D sl / 828D special functions" xr:uid="{62EB421C-43B7-4F81-96FA-600876D5A4E1}"/>
    <hyperlink ref="C87" r:id="rId69" display="SINUMERIK 840D sl / 828D Synchronized Actions" xr:uid="{3F53CA58-6CD3-4FB7-AC57-27F28DB0A89E}"/>
    <hyperlink ref="C88" r:id="rId70" display="SINUMERIK 828D SINAMICS S120 Safety Integrated" xr:uid="{CD989E0D-A114-42B1-88C5-62108FB2633B}"/>
    <hyperlink ref="C89" r:id="rId71" display="SINUMERIK CNC controls - SINUMERIK 828 Overviews of functions" xr:uid="{99CF7CA8-1AC1-4807-8C8D-1870954FE78F}"/>
    <hyperlink ref="C92" r:id="rId72" display="SINUMERIK 808D ADVANCED Programming and Operating Manual (Turning)" xr:uid="{4835154F-50D7-4422-BC51-DD86F1C1D6AF}"/>
    <hyperlink ref="C93" r:id="rId73" display="SINUMERIK 808D ADVANCED Programming and Operating Manual (Milling)" xr:uid="{8406FC3A-9C25-431E-8B3D-D45759014B94}"/>
    <hyperlink ref="C94" r:id="rId74" display="SINUMERIK 808D ADVANCED Programming and Operating Manual (ISO Turning/Milling)" xr:uid="{311E8DF3-E074-4A43-984B-3340B843D7C1}"/>
    <hyperlink ref="C95" r:id="rId75" display="SINUMERIK 808D ADVANCED Programming and Operating Manual (Manual Machine Plus Turning)" xr:uid="{8DDD8182-AE4D-490B-A5A3-AF49C996BAAB}"/>
    <hyperlink ref="C96" r:id="rId76" display="SINUMERIK 808D ADVANCED Function Manual" xr:uid="{45EC663F-BA30-4590-97D5-0B5642EFB869}"/>
    <hyperlink ref="C97" r:id="rId77" display="SINUMERIK 808D ADVANCED Commissioning Manual" xr:uid="{B44B2526-11BB-4641-B85E-09BE9DA053BE}"/>
    <hyperlink ref="C98" r:id="rId78" display="SINUMERIK 808D ADVANCED Service Manual" xr:uid="{5450127F-62C7-4573-A391-2AA00C9C08A5}"/>
    <hyperlink ref="C99" r:id="rId79" display="SINUMERIK 808D ADVANCED Parameter Manual" xr:uid="{F4349164-C14B-46B0-AFF8-3868A806166D}"/>
    <hyperlink ref="C100" r:id="rId80" display="SINUMERIK 808D ADVANCED Diagnostics Manual" xr:uid="{A2C7B910-9EB3-48F3-9799-9F56A4724437}"/>
    <hyperlink ref="C102" r:id="rId81" display="SINAMICS V70 Servo Drives" xr:uid="{46AA61D2-0AA2-4C18-BC31-A75494199A59}"/>
    <hyperlink ref="C103" r:id="rId82" display="1FL5 Motor" xr:uid="{146ADA86-6EF1-43CD-BF50-A364C2C790C2}"/>
    <hyperlink ref="C105" r:id="rId83" display="SINUMERIK 828D SINAMICS S120 Safety Integrated" xr:uid="{A359DC8B-3334-4BDF-90BB-C411FF063015}"/>
    <hyperlink ref="C106" r:id="rId84" display="SINUMERIK 840D sl Safety Integrated" xr:uid="{584927E3-9300-45E2-A6A8-368E9F9BFAFE}"/>
    <hyperlink ref="C107" r:id="rId85" display="SINUMERIK 840D sl/SINAMICS S120, SINUMERIK Safety Integrated" xr:uid="{400825B7-BFAE-4091-94C2-70AB8B37B080}"/>
    <hyperlink ref="C108" r:id="rId86" display="SINUMERIK 840D sl Safety Integrated plus" xr:uid="{40AFD513-1A33-4801-9FB5-1438E144E564}"/>
    <hyperlink ref="C110" r:id="rId87" display="SINAMICS S120 Safety Integrated Function Manual" xr:uid="{AC75BA43-A000-41AB-8022-2310D6A9AC2A}"/>
    <hyperlink ref="C112" r:id="rId88" display="SINUMERIK Access MyMachine / OPC UA" xr:uid="{6FBD3A3F-40AC-43DE-A01F-BCC2D8F4A775}"/>
    <hyperlink ref="C113" r:id="rId89" display="SINUMERIK Integrate Create MyInterface (CMI)" xr:uid="{BE2A2623-9C33-41D8-8254-F6B4F45FA6F5}"/>
    <hyperlink ref="C114" r:id="rId90" display="RPC SINUMERIK" xr:uid="{6597896B-B413-45B4-8807-FAF341C7E264}"/>
    <hyperlink ref="C115" r:id="rId91" display="SINUMERIK Integrate Create MyConfig - Diff, Expert, Topo" xr:uid="{1F1AAF69-F0DB-478C-9FC7-C76A7EDD02E5}"/>
    <hyperlink ref="C116" r:id="rId92" display="SINUMERIK 840D sl / 828D / 808D SINUMERIK Access MyMachine /P2P (PC)" xr:uid="{65F62222-A09F-42D1-AAED-7EAC5E93F086}"/>
    <hyperlink ref="C117" r:id="rId93" display="SINUMERIK Integrate MMP, MMT, AMC, AMP, AMM/E, AMD" xr:uid="{B4E95128-E855-4BD0-8563-AA1B40A89490}"/>
    <hyperlink ref="C118" r:id="rId94" display="SINUMERIK Integrate Create MyConfig - EPLAN Electric P8 Add-In" xr:uid="{0CB1C952-04A0-4C83-9179-EB6A80B5D033}"/>
    <hyperlink ref="C119" r:id="rId95" display="MindApp Analyze MyPerformance /OEE-Monitor - Function Manual - October 2018" xr:uid="{ECF14E1F-97F7-4385-A69E-DA36399AB5F3}"/>
    <hyperlink ref="C120" r:id="rId96" display="SINUMERIK Integrate Shop Floor Integrate (SFI)" xr:uid="{3AE38DD6-393A-4AAB-9994-897FE3630F99}"/>
    <hyperlink ref="C121" r:id="rId97" display="Manage MyResources (MMR)" xr:uid="{38573DE0-0B12-4A54-BB4D-7939E53633E4}"/>
    <hyperlink ref="C122" r:id="rId98" display="Optimize MyProgramming / NX CAM Editor" xr:uid="{1E7B424B-57B9-43A9-A6E3-D44967480F99}"/>
    <hyperlink ref="C123" r:id="rId99" display="MindApp Manage MyMachines - Function Manual - July 2018" xr:uid="{3D60A89C-FF30-49C2-8028-05DD1052136F}"/>
    <hyperlink ref="C124" r:id="rId100" display="MindApp Manage MyMachines - Function Manual - June 2018" xr:uid="{514FDDC5-B230-41AB-AC40-5152E8F2B12E}"/>
    <hyperlink ref="C125" r:id="rId101" display="MindApp Manage MyMachines/Remote - Function Manual - October 2018" xr:uid="{060D6173-4517-4984-B17D-719A1BD39E74}"/>
    <hyperlink ref="C126" r:id="rId102" display="SINUMERIK Integrate Analyze MyCondition (AMC)" xr:uid="{AD4D12E3-9995-4297-9009-35D424B6845C}"/>
    <hyperlink ref="C127" r:id="rId103" display="SINUMERIK Integrate Access MyData (AMD)" xr:uid="{1989FD8C-909C-4CC8-A771-DFA75F9CAA87}"/>
    <hyperlink ref="C128" r:id="rId104" display="SINUMERIK Integrate MMP, MMT, AMC, AMP, AMM/E, AMD" xr:uid="{2A3A2D98-8025-4782-96BA-73EE96271179}"/>
    <hyperlink ref="C129" r:id="rId105" display="SINUMERIK Integrate Shop Floor Integrate (SFI)" xr:uid="{E2C02B35-FB55-4656-A709-F3443C2AFBB8}"/>
    <hyperlink ref="C130" r:id="rId106" display="Manage MyResources (MMR)" xr:uid="{D47A6AEF-B17C-48F5-9BA7-385AAFE223EF}"/>
    <hyperlink ref="C131" r:id="rId107" display="Optimize MyProgramming / NX CAM Editor" xr:uid="{11773A60-F6F9-4209-85A6-1636098047E7}"/>
    <hyperlink ref="C132" r:id="rId108" display="MindApp Manage MyMachines powerline - Application examples - July 2018" xr:uid="{31F120FF-DC8A-452E-A42D-39378D101EA8}"/>
    <hyperlink ref="C133" r:id="rId109" display="MindApp Manage MyMachines /Remote - Application Examples - October 2018" xr:uid="{E6064FD6-85F2-4AC8-BE97-46FB533EB2B9}"/>
    <hyperlink ref="C135" r:id="rId110" display="SINAMICS S120 booksize C/D-type power units" xr:uid="{5C610C53-2720-4AB5-B9C2-B38313E990BC}"/>
    <hyperlink ref="C136" r:id="rId111" display="SINAMICS S120 Control Units and Additional System Components " xr:uid="{A6F549FB-432A-4814-886D-45EF33A7BAF0}"/>
    <hyperlink ref="C137" r:id="rId112" display="SINAMICS S120 booksize power units" xr:uid="{75B325C1-6BD1-40C9-9032-7E50F03CB7BF}"/>
    <hyperlink ref="C138" r:id="rId113" display="SINAMICS S120 AC Drive" xr:uid="{248DC288-B4FD-4546-A1B3-CEA8C3BA1763}"/>
    <hyperlink ref="C139" r:id="rId114" display="SINAMICS S120 Combi" xr:uid="{C4FBF8D8-2016-4DF3-80C5-4B5C9CF54930}"/>
    <hyperlink ref="C140" r:id="rId115" display="SINAMICS S120 air-cooled chassis power units" xr:uid="{13206CB8-88A2-45A2-8A8D-342D3278D09F}"/>
    <hyperlink ref="C141" r:id="rId116" display="SINAMICS S120M Manual Distributed Drive Technology" xr:uid="{E23223E8-45A1-42A4-9D37-DCE140AD0327}"/>
    <hyperlink ref="C142" r:id="rId117" display="SINAMICS S120 Hydraulic Drive" xr:uid="{CB99444C-70EF-4A07-AF24-942F48DA11BB}"/>
    <hyperlink ref="C143" r:id="rId118" display="SINAMICS S120 High Frequency Drive" xr:uid="{58FAFDE1-653C-4D4D-B942-C5EE52AFF701}"/>
    <hyperlink ref="C144" r:id="rId119" display="SINAMICS S120 Booksize SIMODRIVE Cabinet integration" xr:uid="{11E79723-8385-48AB-94DA-BA7976B59192}"/>
    <hyperlink ref="C145" r:id="rId120" display="SINAMICS S120 Requirements placed on third-party motors" xr:uid="{36E50C75-C369-4BE8-B157-670C64FD30E9}"/>
    <hyperlink ref="C146" r:id="rId121" display="SINAMICS S120 Commissioning Manual with STARTER" xr:uid="{62B5F7D1-C47C-46AE-9930-529BF44DA158}"/>
    <hyperlink ref="C147" r:id="rId122" display="SINAMICS S120/S150" xr:uid="{9D71220B-6042-4743-8ED1-BC13E7E5910A}"/>
    <hyperlink ref="C148" r:id="rId123" display="SINAMICS S120 Getting Started with STARTER" xr:uid="{D6943241-EA82-48AC-994D-8653BA99AD24}"/>
    <hyperlink ref="C149" r:id="rId124" display="SINAMICS S120 Function Manual Drive Functions in STARTER" xr:uid="{82988900-6D2F-4651-8BC9-6D8BD3BBF4FE}"/>
    <hyperlink ref="C150" r:id="rId125" display="SINAMICS S120 Safety Integrated Function Manual" xr:uid="{C64603F1-665A-4442-BE50-56E5A3336D75}"/>
    <hyperlink ref="C151" r:id="rId126" display="SINAMICS Technology Extensions Installation description" xr:uid="{C5013BA1-4EB2-4CF7-8F09-48B5CDB0D7A5}"/>
    <hyperlink ref="C152" r:id="rId127" display="SINAMICS Technology Extension: POLYGON Master-value-dependent characteristic functionality" xr:uid="{D1B603F1-70E2-4660-ADF2-DB4D75CA82E1}"/>
    <hyperlink ref="C153" r:id="rId128" display="SINAMICS Technology Extension: VIBX (Vibration Extinction)" xr:uid="{D07F3B1D-1FBF-4F6C-B1FB-CFA5B47E5297}"/>
    <hyperlink ref="C154" r:id="rId129" display="SINAMICS Technology Extension: SERVCOUP (Servo Coupling)" xr:uid="{83B12851-BB4B-402F-8DBD-2BD8F8C7AE9A}"/>
    <hyperlink ref="C155" r:id="rId130" display="SINAMICS Technology Extension: DCDCCONV (DC-DC Converter)" xr:uid="{5F7F0FE9-F445-41FE-9534-8064198C462D}"/>
    <hyperlink ref="C156" r:id="rId131" display="SINAMICS Technology Extension ROTDTEC" xr:uid="{E05D87E1-E278-42BE-9218-015EED8BCAFE}"/>
    <hyperlink ref="C158" r:id="rId132" display="Absolute Value Encoder with PROFIBUS-DP" xr:uid="{C5684C5A-31C1-429B-A5A4-25DFA5BBDFDD}"/>
    <hyperlink ref="C159" r:id="rId133" display="Absolute Value Encoder with PROFIBUS-DP FS 17 (or higher)" xr:uid="{C9E137EA-118C-4056-BD73-4A6879D5729A}"/>
    <hyperlink ref="C160" r:id="rId134" display="SIMAG H2 Hollow-Shaft Measuring System" xr:uid="{0FB9A281-0464-4067-93B3-38FEFA843AD9}"/>
    <hyperlink ref="C161" r:id="rId135" display="Gebersysteme, Encoder systems ERN 1387. . . / S21 / EQN 1325. . ." xr:uid="{D4FD6944-41A0-4F35-89BF-EF67D1799119}"/>
    <hyperlink ref="C162" r:id="rId136" display="Gebersystem, Encoder system ERN 1381.001" xr:uid="{D1438870-8542-438A-90B0-517D6B941925}"/>
    <hyperlink ref="C163" r:id="rId137" display="Measuring systems, Motion Control Encoder, TTL, HTL, 1 Vpp" xr:uid="{FED6E91B-10CF-4911-948A-553876A3EE97}"/>
    <hyperlink ref="C164" r:id="rId138" display="Measuring systems, Motion Control Encoder, SSI - EnDat valid for the following types: 6FX2001-5.E../5.S.." xr:uid="{0558BAB4-6D3D-47FF-B653-9D16F25C8681}"/>
    <hyperlink ref="C165" r:id="rId139" display="Description for Absolut Encoder with PROFIBUS DP with hollow shaft" xr:uid="{325E02DB-F8A3-4112-8450-47920F2B245F}"/>
    <hyperlink ref="C166" r:id="rId140" display="Description for Absolut Encoder with PROFIBUS DP with solid shaft" xr:uid="{B92F37A6-7127-4ADD-9186-9B899965113B}"/>
    <hyperlink ref="C169" r:id="rId141" display="SIMOTICS S-1FK7 G2 synchronous motors" xr:uid="{1431293F-8C82-40BB-A309-5FC6539AC75F}"/>
    <hyperlink ref="C170" r:id="rId142" display="Replacing an encoder for SIMOTICS S-1FK7 G2, S-1FG1 and S-1FT7" xr:uid="{26696D22-DA04-465F-B3E5-BAA8767649D6}"/>
    <hyperlink ref="C171" r:id="rId143" display="SIMOTICS S-1FK7 G2 synchronous motors" xr:uid="{C7C6C4CF-2320-4E5A-B718-E657B0D7B912}"/>
    <hyperlink ref="C172" r:id="rId144" display="SIMOTICS S-1FK7 DYA G2 synchronous motors with planetary gearbox" xr:uid="{EEC36B6B-2A11-490A-94FA-04910D4F9C6D}"/>
    <hyperlink ref="C174" r:id="rId145" display="Three-phase servomotors 1FT6 02. - 1FT6 10." xr:uid="{F76CABD1-2F88-444F-A8E1-48A83267A880}"/>
    <hyperlink ref="C175" r:id="rId146" display="Three-phase servomotors 1FT6 03. - 04. 1FT6 06. - 13." xr:uid="{8422E1B5-53A0-4516-B350-184C825A595B}"/>
    <hyperlink ref="C176" r:id="rId147" display="Three-phase servomotors 1FT6 13. - 1FT6 16., in de, en, fr, es, it and sv" xr:uid="{BF178CD3-1450-489A-B3AC-423A7EB722C3}"/>
    <hyperlink ref="C178" r:id="rId148" display="Replacing an encoder for SIMOTICS S-1FK7 G2, S-1FG1 and S-1FT7" xr:uid="{083A12C6-E9F3-4C63-AE1F-EF2AEB42D122}"/>
    <hyperlink ref="C179" r:id="rId149" display="SIMOTICS S-1FT7 synchronous motors " xr:uid="{5B4060D0-1D41-48D5-B58E-83B1E527C89B}"/>
    <hyperlink ref="C180" r:id="rId150" display="SIMOTICS S-1FT7 synchronous motors" xr:uid="{86F90625-27E5-4BED-99CC-BC88B6BB8824}"/>
    <hyperlink ref="C182" r:id="rId151" display="Replacing an encoder for SIMOTICS S-1FK7 G2, S-1FG1 and S-1FT7" xr:uid="{E5628A2D-D546-4428-846E-5CECBAFFE194}"/>
    <hyperlink ref="C183" r:id="rId152" display="Operating Instructions for SIMOTICS S-1FG1 servo geared motors" xr:uid="{CB7F5B80-4A83-496D-B6CB-2782071424D6}"/>
    <hyperlink ref="C186" r:id="rId153" display="Operating instructions for induction motors 1PH4" xr:uid="{D58D1890-2057-4CE3-AA69-036CF60361ED}"/>
    <hyperlink ref="C187" r:id="rId154" display="SINAMICS S120 Induction Motors Configuration Manual 1PH4 " xr:uid="{20DE7415-CD0B-4720-9612-123AE8DF0E27}"/>
    <hyperlink ref="C189" r:id="rId155" display="Operating instructions for induction motors 1PH7" xr:uid="{D68CEC13-B242-47C0-B1C5-26FBD89CA582}"/>
    <hyperlink ref="C190" r:id="rId156" display="Three-phase induction motor Operating Instructions 1PH718" xr:uid="{DBEC9F2E-AA56-41A0-8D0E-3E589CA42C3B}"/>
    <hyperlink ref="C191" r:id="rId157" display="Three-phase induction motor Operating Instructions 1PH722" xr:uid="{5A4A31A3-C848-4266-BCE3-B78688FB836F}"/>
    <hyperlink ref="C192" r:id="rId158" display="Three-phase induction motor Operating Instructions 1PH728" xr:uid="{F2F134B9-BFCA-4C01-A907-722F315F28C8}"/>
    <hyperlink ref="C194" r:id="rId159" display="Operating instructions main motors SIMOTICS M-1PH8 Ex-protected version for Zones 2 and 22 (M03 and M39 options)" xr:uid="{093CA661-7C49-41EA-A2DD-1EF54E297D01}"/>
    <hyperlink ref="C195" r:id="rId160" display="Synchronous motor SIMOTICS M-1PH8 1PH818., 1PH822., forced ventilated/water cooled" xr:uid="{AF549F9B-D971-48FC-A515-8BBF189E5D20}"/>
    <hyperlink ref="C196" r:id="rId161" display="Main motors SIMOTICS M-1PH8 1PH818., 1PH822., 1PH828. forced-ventilated/water-cooled" xr:uid="{850E520E-1167-4699-832B-8F05F3355AE0}"/>
    <hyperlink ref="C197" r:id="rId162" display="SIMOTICS M-1PH808/1PH810 main motors" xr:uid="{D00F11FF-9FDC-47BD-BCC4-853FC4A97E00}"/>
    <hyperlink ref="C198" r:id="rId163" display="SIMOTICS M-1PH813/1PH816 main motors" xr:uid="{CB6238D6-CDC9-4B00-9DD2-C0A3E78843AA}"/>
    <hyperlink ref="C199" r:id="rId164" display="Induction motor SIMOTICS M-1PH8, 1PH8" xr:uid="{D45A2737-6385-4154-B30E-A00069A3A3CB}"/>
    <hyperlink ref="C200" r:id="rId165" display="SIMOTICS M-1PH8 main motors for SINAMICS S120 " xr:uid="{F69C0EF5-CC5B-4D3C-9D2E-3A5EF01171DB}"/>
    <hyperlink ref="C202" r:id="rId166" display="1PM6/1PM4 Hollow-Shaft Motors for Main Spindle Drives" xr:uid="{A2743FFA-CDC3-4EFD-BF12-DEB8F1831350}"/>
    <hyperlink ref="C203" r:id="rId167" display="Hollow Shaft Motors 1PM6 Air cooled" xr:uid="{DC49352C-631F-4517-A7BC-0A64BA719251}"/>
    <hyperlink ref="C204" r:id="rId168" display="Hohlwellenmotoren 1PM4, liquid cooled" xr:uid="{286B9399-9618-472A-9732-3E93298496A9}"/>
    <hyperlink ref="C206" r:id="rId169" display="SIMOTICS M-1FE1 synchronous built-in motors" xr:uid="{81C5BDEB-DB93-4CD2-9AD7-B7AC4FE099C1}"/>
    <hyperlink ref="C207" r:id="rId170" display="SIMOTICS 1FE2 synchronous built-in motors for SINAMICS S120 Installation Manual" xr:uid="{94AD46A8-D78C-4C22-BB9D-AA24A3E8B907}"/>
    <hyperlink ref="C208" r:id="rId171" display="SINAMICS S120 Configuration Manual Synchronous Built-in Motors 1FE1" xr:uid="{A1957626-042E-404E-9925-25DF1E8FFA14}"/>
    <hyperlink ref="C209" r:id="rId172" display="SIMOTICS Configuration Manual 1FE2 Synchronous Built-In Motors for SINAMICS S120" xr:uid="{8C41786E-F857-407B-A4A2-B3B6EAEA9AFE}"/>
    <hyperlink ref="C211" r:id="rId173" display="SINAMICS S120 Configuration Manual 2SP1 ECS Motor Spindle" xr:uid="{A6031D7B-0C38-49A5-957F-E45D6B5825F7}"/>
    <hyperlink ref="C212" r:id="rId174" display="Operating Instructions, 2SP1 ECS Motor Spindle" xr:uid="{1BADE0F2-36F0-4C76-B3D9-FF8EE35002B6}"/>
    <hyperlink ref="C215" r:id="rId175" display="SIMOTICS L 1FN3 linear motors for SINAMICS S120" xr:uid="{DE7CFD99-5D3B-45E3-8144-F6847D64788C}"/>
    <hyperlink ref="C216" r:id="rId176" display="SIMOTICS L-1FN3 Linear Motors" xr:uid="{86BCDBCE-B784-44E7-B3EA-3E7214871099}"/>
    <hyperlink ref="C218" r:id="rId177" display="SINAMICS S120 drive technology SIMOTICS L-1FN6 linear motors" xr:uid="{394F9680-F909-4F00-9039-8929F76A1495}"/>
    <hyperlink ref="C220" r:id="rId178" display="Operating instructions, SIMOTICS T-1FW3 complete torque motors" xr:uid="{A61D9658-30EC-47AE-B29E-EBFCDB47CE76}"/>
    <hyperlink ref="C221" r:id="rId179" display="SIMOTICS T-1FW3 complete motors for SINAMICS S120" xr:uid="{B6CEB8EF-6CBA-4356-A378-86B051B8E972}"/>
    <hyperlink ref="C223" r:id="rId180" display="SIMOTICS T-1FW6 built-in torque motors for SINAMICS S120" xr:uid="{3F4BE34F-ED83-4426-B582-4C97E7C38757}"/>
    <hyperlink ref="C224" r:id="rId181" display="SIMOTICS T-1FW68 radial segment motors for SINAMICS S120" xr:uid="{7D7E8F4C-813F-4E4C-B8A6-81AD14CA6060}"/>
    <hyperlink ref="C225" r:id="rId182" display="SIMOTICS T-1FW6 naturally cooled built-in torque motors for SINAMICS S120" xr:uid="{E190776F-9400-4BE9-BF3C-A3E4B7275A87}"/>
    <hyperlink ref="C226" r:id="rId183" display="SIMOTICS T-1FW68 radial segment motors" xr:uid="{3BD361AD-4487-4F84-9BC6-5ED33A1B390B}"/>
    <hyperlink ref="C227" r:id="rId184" display="Naturally cooled SIMOTICS T-1FW6 built-in torque motors" xr:uid="{9111E080-AB72-4315-8F1C-30017AA5FED1}"/>
    <hyperlink ref="C228" r:id="rId185" display="SIMOTICS T-1FW6 built-in torque motors" xr:uid="{2BB98A4C-26C7-404D-9372-E7ADDC9F745E}"/>
    <hyperlink ref="C229" r:id="rId186" display="Drive technology, safety instructions for direct drives" xr:uid="{0ACC939A-4B15-4536-BE05-80259F216885}"/>
    <hyperlink ref="C231" r:id="rId187" display="SIMATIC Working with STEP 7 V5.5" xr:uid="{8DD786C0-EB73-4AAC-AD1C-736100D0E499}"/>
    <hyperlink ref="C232" r:id="rId188" display="SIMATIC Programming with STEP 7" xr:uid="{1F1FEDCB-66E9-42BF-B424-5F90FBF65E99}"/>
    <hyperlink ref="C233" r:id="rId189" display="SIMATIC Configuring Hardware and Communication Connections STEP 7" xr:uid="{930F298F-F1E1-4428-817E-232A0736A0D7}"/>
    <hyperlink ref="C234" r:id="rId190" display="SIMATIC Ladder Logic (LAD) for S7-300 and S7-400 Programming" xr:uid="{31058F5E-0AD8-488E-BE6A-11EC3EC290E1}"/>
    <hyperlink ref="C235" r:id="rId191" display="SIMATIC Function Block Diagram (FBD) for S7-300 and S7-400 Programming" xr:uid="{9F524D16-4D86-4197-B3B5-7E2A9E974F20}"/>
    <hyperlink ref="C236" r:id="rId192" display="SIMATIC Statement List (STL) for S7-300 and S7-400 Programming" xr:uid="{D1A9A1D9-425C-4699-AC3D-393C927520EF}"/>
    <hyperlink ref="C237" r:id="rId193" display="System Software for S7-300/400 System and Standard Functions Volume 1 and Volume 2" xr:uid="{E19FBBF7-F45D-4884-BBD7-E2775408E254}"/>
    <hyperlink ref="C238" r:id="rId194" display="SIMATIC S7-300 CPU 31xC and CPU 31x: Technical specifications" xr:uid="{ADFA2CA9-5FFA-4A57-9A1A-45F639A8AB64}"/>
    <hyperlink ref="C239" r:id="rId195" display="SIMATIC PLC S7-300, CPU Specifications CPU 312 IFM to CPU 318-2 DP" xr:uid="{0F0BBEA8-8874-46DD-9A39-219E92C227DA}"/>
    <hyperlink ref="C240" r:id="rId196" display="SIMATIC S7-300 Instruction list S7-300 CPUs and ET 200 CPUs" xr:uid="{04CA1C4C-FC67-43CD-BF4F-65F4CC1AB566}"/>
    <hyperlink ref="C241" r:id="rId197" display="SIMATIC S7-300 CPU 31xC Technological Functions" xr:uid="{87DE96C3-F83F-46F5-A995-7842BCC0F702}"/>
    <hyperlink ref="C242" r:id="rId198" display="S7-200 System Manual" xr:uid="{5FDF9327-7329-460A-82F7-708CA1ED745C}"/>
    <hyperlink ref="C243" r:id="rId199" display="S7-200 Programmable Controller, CPU21x" xr:uid="{E85ED85C-48E6-430C-A9A6-DFA095262B4E}"/>
    <hyperlink ref="C244" r:id="rId200" display="SIMATIC PROFINET System Description" xr:uid="{06AA0C86-9837-419D-BC54-35EF5932306D}"/>
    <hyperlink ref="C245" r:id="rId201" display="SIMATIC Communication with SIMATIC" xr:uid="{156907D3-AA3A-4B49-BD16-12F0670157D1}"/>
    <hyperlink ref="C246" r:id="rId202" display="SIMATIC NET PC software Industrial Communication with PG/PC Volume 1 - Basics System Manual" xr:uid="{E8E547B2-4FAD-4034-880D-458EA2E06A3D}"/>
    <hyperlink ref="C247" r:id="rId203" display="SIMATIC NET: PC software Industrial Communication with PG/PC Volume 2 - Interfaces" xr:uid="{973B56C3-8F70-4D33-A805-032CBA40B18F}"/>
    <hyperlink ref="C248" r:id="rId204" display="SIMATIC NET Twisted-Pair and Fiber-Optic Networks" xr:uid="{6142F020-6C4C-4251-83BA-094D4C354AD6}"/>
    <hyperlink ref="C249" r:id="rId205" display="SIMATIC HMI Industrial Thin Clients ITC V3, ITC V3 PRO" xr:uid="{A3AB9B80-C9E6-45F6-8ED5-42F713105C3E}"/>
    <hyperlink ref="C250" r:id="rId206" display="SIMATIC HMI HMI device MP 177 (WinCC flexible)" xr:uid="{2E149466-44BF-4CE7-831E-6D6DEF8D7EF0}"/>
    <hyperlink ref="C251" r:id="rId207" display="SIMATIC HMI HMI device Industrial Thin Client ITC1200, ITC1500, ITC1900, ITC2200" xr:uid="{277082FD-2BB5-41D8-A0B5-C868FAF52AA4}"/>
    <hyperlink ref="C252" r:id="rId208" display="Mobile Panel 177 (WinCC flexible)" xr:uid="{964A49F7-70A3-423E-97C4-339F9A6FB40E}"/>
    <hyperlink ref="C253" r:id="rId209" display="SIMATIC NET Industrial Remote Communication - TeleControl MODEM MD720" xr:uid="{7242402C-CF0E-4C4C-883B-CB9A06C67DC2}"/>
    <hyperlink ref="C254" r:id="rId210" display="SIMATIC NET DP Master Programming Interfaces" xr:uid="{E4500C5E-9636-4C37-9CEF-7374EA1909BE}"/>
    <hyperlink ref="C255" r:id="rId211" display="SIMATIC NET FDL Programming Interface" xr:uid="{4F31A147-9721-4760-8287-E0937FF17F31}"/>
    <hyperlink ref="C256" r:id="rId212" display="Antenna ANT794-4MR for LTE/UMTS/GSM Compact Operating Instructions" xr:uid="{7D4BECFE-0483-4F4F-B445-81A1BD4702C0}"/>
    <hyperlink ref="C257" r:id="rId213" display="HMI Lite V8.2" xr:uid="{5ED2013F-BFC9-407C-B361-2F18B53840F7}"/>
    <hyperlink ref="C259" r:id="rId214" display="SINUMERIK 828D / SINUMERIK 840D sl SINUMERIK Operate - Turning" xr:uid="{66F8C727-AEB3-44A9-9F59-3D5244D8CC98}"/>
    <hyperlink ref="C260" r:id="rId215" display="SINUMERIK 828D / SINUMERIK 840D sl SINUMERIK Operate - Milling" xr:uid="{D7D94B1E-FAD1-4773-B5FF-1C26FAF53DF4}"/>
    <hyperlink ref="C261" r:id="rId216" display="SINUMERIK / SIMOTION / SINAMICS Industrial Security" xr:uid="{FD6D9FE4-317E-4124-A13E-CC76A56EE382}"/>
    <hyperlink ref="C262" r:id="rId217" display="Milling with SINUMERIK, Mold making with 3 to 5-axis simultaneous milling" xr:uid="{F36DF88C-3990-4A4B-99BF-779D9894379F}"/>
    <hyperlink ref="C263" r:id="rId218" display="SINUMERIK 840D sl - Glossary, Functions and terms" xr:uid="{50FE6FDD-6675-4815-B18B-E4E84EB34842}"/>
    <hyperlink ref="C264" r:id="rId219" display="SIMOTICS servomotors, Technical definitions for AC motors" xr:uid="{7032556A-42D8-4CB0-9007-8D5FA3E44875}"/>
    <hyperlink ref="C265" r:id="rId220" display="SINUMERIK 828D/840D sl Operating and Programming - Milling" xr:uid="{5237CEB0-0A26-466F-8BE3-7AEB7CE05E7B}"/>
    <hyperlink ref="C266" r:id="rId221" display="SINUMERIK 828D/840D sl Operating and Programming - Turning" xr:uid="{7E181DD5-C781-4377-9078-93AA8194B63E}"/>
    <hyperlink ref="C267" r:id="rId222" display="SINUMERIK Operate SinuTrain Easy milling with ShopMill" xr:uid="{2E260D4E-158E-4F5F-BC77-717D46AC0403}"/>
    <hyperlink ref="C268" r:id="rId223" display="SINUMERIK Operate SinuTrain Turning made easy with ShopTurn" xr:uid="{7475B72D-F0C2-472A-9734-15EFD743D012}"/>
    <hyperlink ref="C269" r:id="rId224" display="SinuTrain for SINUMERIK Operate" xr:uid="{11C02CC3-D0E4-4DF5-B4D2-25D6A5B8552B}"/>
  </hyperlinks>
  <pageMargins left="0.7" right="0.7" top="0.75" bottom="0.75" header="0.3" footer="0.3"/>
  <pageSetup orientation="portrait" horizontalDpi="4294967293" verticalDpi="0" r:id="rId225"/>
  <headerFooter>
    <oddFooter xml:space="preserve">&amp;LUnrestricted </oddFooter>
    <evenFooter xml:space="preserve">&amp;LUnrestricted </evenFooter>
    <firstFooter xml:space="preserve">&amp;LUnrestricted </firstFooter>
  </headerFooter>
  <drawing r:id="rId2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665CB-5696-974D-BF05-DEA6855EB5A5}">
  <sheetPr>
    <tabColor theme="7"/>
  </sheetPr>
  <dimension ref="A2:K42"/>
  <sheetViews>
    <sheetView showGridLines="0" showRowColHeaders="0" zoomScale="70" zoomScaleNormal="70" workbookViewId="0">
      <selection activeCell="A3" sqref="A3"/>
    </sheetView>
  </sheetViews>
  <sheetFormatPr defaultColWidth="11.42578125" defaultRowHeight="15"/>
  <cols>
    <col min="1" max="1" width="26.85546875" bestFit="1" customWidth="1"/>
    <col min="3" max="3" width="45.85546875" bestFit="1" customWidth="1"/>
    <col min="4" max="4" width="29.7109375" customWidth="1"/>
    <col min="5" max="5" width="38.42578125" customWidth="1"/>
    <col min="6" max="6" width="5.28515625" customWidth="1"/>
    <col min="7" max="7" width="60.85546875" bestFit="1" customWidth="1"/>
  </cols>
  <sheetData>
    <row r="2" spans="1:11" ht="23.25">
      <c r="A2" s="11" t="s">
        <v>481</v>
      </c>
    </row>
    <row r="5" spans="1:11" ht="58.5">
      <c r="E5" s="17" t="s">
        <v>443</v>
      </c>
      <c r="F5" s="14"/>
      <c r="G5" s="15" t="s">
        <v>426</v>
      </c>
      <c r="H5" s="14"/>
      <c r="I5" s="14"/>
      <c r="J5" s="14"/>
      <c r="K5" s="16"/>
    </row>
    <row r="6" spans="1:11" ht="19.5">
      <c r="E6" s="14"/>
      <c r="F6" s="14"/>
      <c r="G6" s="15"/>
      <c r="H6" s="14"/>
      <c r="I6" s="14"/>
      <c r="J6" s="14"/>
      <c r="K6" s="16"/>
    </row>
    <row r="7" spans="1:11" ht="19.5">
      <c r="E7" s="14" t="s">
        <v>424</v>
      </c>
      <c r="F7" s="14"/>
      <c r="G7" s="15" t="s">
        <v>425</v>
      </c>
      <c r="H7" s="14"/>
      <c r="I7" s="14"/>
      <c r="J7" s="14"/>
      <c r="K7" s="16"/>
    </row>
    <row r="8" spans="1:11" ht="19.5">
      <c r="E8" s="14"/>
      <c r="F8" s="14"/>
      <c r="G8" s="15"/>
      <c r="H8" s="14"/>
      <c r="I8" s="14"/>
      <c r="J8" s="14"/>
      <c r="K8" s="16"/>
    </row>
    <row r="9" spans="1:11" ht="58.5">
      <c r="E9" s="17" t="s">
        <v>440</v>
      </c>
      <c r="F9" s="14"/>
      <c r="G9" s="15" t="s">
        <v>433</v>
      </c>
      <c r="H9" s="14"/>
      <c r="I9" s="14"/>
      <c r="J9" s="14"/>
      <c r="K9" s="16"/>
    </row>
    <row r="10" spans="1:11" ht="19.5">
      <c r="E10" s="14"/>
      <c r="F10" s="14"/>
      <c r="G10" s="14"/>
      <c r="H10" s="14"/>
      <c r="I10" s="14"/>
      <c r="J10" s="14"/>
      <c r="K10" s="16"/>
    </row>
    <row r="11" spans="1:11" ht="19.5">
      <c r="E11" s="14" t="s">
        <v>431</v>
      </c>
      <c r="F11" s="14"/>
      <c r="G11" s="15" t="s">
        <v>434</v>
      </c>
      <c r="H11" s="14"/>
      <c r="I11" s="14"/>
      <c r="J11" s="14"/>
      <c r="K11" s="16"/>
    </row>
    <row r="12" spans="1:11" ht="19.5">
      <c r="E12" s="14" t="s">
        <v>432</v>
      </c>
      <c r="F12" s="14"/>
      <c r="G12" s="15" t="s">
        <v>435</v>
      </c>
      <c r="H12" s="14"/>
      <c r="I12" s="14"/>
      <c r="J12" s="14"/>
      <c r="K12" s="16"/>
    </row>
    <row r="13" spans="1:11" ht="19.5">
      <c r="E13" s="14"/>
      <c r="F13" s="14"/>
      <c r="G13" s="14"/>
      <c r="H13" s="14"/>
      <c r="I13" s="14"/>
      <c r="J13" s="14"/>
      <c r="K13" s="16"/>
    </row>
    <row r="14" spans="1:11" ht="39">
      <c r="E14" s="17" t="s">
        <v>442</v>
      </c>
      <c r="F14" s="14"/>
      <c r="G14" s="15" t="s">
        <v>436</v>
      </c>
      <c r="H14" s="14"/>
      <c r="I14" s="14"/>
      <c r="J14" s="14"/>
      <c r="K14" s="16"/>
    </row>
    <row r="15" spans="1:11" ht="19.5">
      <c r="E15" s="14"/>
      <c r="F15" s="14"/>
      <c r="G15" s="14"/>
      <c r="H15" s="14"/>
      <c r="I15" s="14"/>
      <c r="J15" s="14"/>
      <c r="K15" s="16"/>
    </row>
    <row r="16" spans="1:11" ht="19.5">
      <c r="E16" s="14" t="s">
        <v>441</v>
      </c>
      <c r="F16" s="14"/>
      <c r="G16" s="15" t="s">
        <v>437</v>
      </c>
      <c r="H16" s="14"/>
      <c r="I16" s="14"/>
      <c r="J16" s="14"/>
      <c r="K16" s="16"/>
    </row>
    <row r="17" spans="1:11" ht="19.5">
      <c r="E17" s="14"/>
      <c r="F17" s="14"/>
      <c r="G17" s="14"/>
      <c r="H17" s="14"/>
      <c r="I17" s="14"/>
      <c r="J17" s="14"/>
      <c r="K17" s="16"/>
    </row>
    <row r="18" spans="1:11" ht="19.5">
      <c r="E18" s="14"/>
      <c r="F18" s="14"/>
      <c r="G18" s="15"/>
      <c r="H18" s="14"/>
      <c r="I18" s="14"/>
      <c r="J18" s="14"/>
      <c r="K18" s="16"/>
    </row>
    <row r="19" spans="1:11" ht="19.5">
      <c r="E19" s="14"/>
      <c r="F19" s="14"/>
      <c r="G19" s="14"/>
      <c r="H19" s="14"/>
      <c r="I19" s="14"/>
      <c r="J19" s="14"/>
      <c r="K19" s="16"/>
    </row>
    <row r="20" spans="1:11" ht="19.5">
      <c r="E20" s="14"/>
      <c r="F20" s="14"/>
      <c r="G20" s="14"/>
      <c r="H20" s="14"/>
      <c r="I20" s="14"/>
      <c r="J20" s="14"/>
      <c r="K20" s="16"/>
    </row>
    <row r="21" spans="1:11" ht="19.5">
      <c r="A21" s="10"/>
      <c r="E21" s="14"/>
      <c r="F21" s="14"/>
      <c r="G21" s="14"/>
      <c r="H21" s="14"/>
      <c r="I21" s="14"/>
      <c r="J21" s="14"/>
      <c r="K21" s="16"/>
    </row>
    <row r="22" spans="1:11" ht="19.5">
      <c r="C22" s="9"/>
      <c r="E22" s="14"/>
      <c r="F22" s="14"/>
      <c r="G22" s="14"/>
      <c r="H22" s="14"/>
      <c r="I22" s="14"/>
      <c r="J22" s="14"/>
      <c r="K22" s="16"/>
    </row>
    <row r="23" spans="1:11" ht="19.5">
      <c r="C23" s="9"/>
      <c r="E23" s="14"/>
      <c r="F23" s="14"/>
      <c r="G23" s="14"/>
      <c r="H23" s="14"/>
      <c r="I23" s="14"/>
      <c r="J23" s="14"/>
      <c r="K23" s="16"/>
    </row>
    <row r="24" spans="1:11" ht="19.5">
      <c r="E24" s="14"/>
      <c r="F24" s="14"/>
      <c r="G24" s="14"/>
      <c r="H24" s="14"/>
      <c r="I24" s="14"/>
      <c r="J24" s="14"/>
      <c r="K24" s="16"/>
    </row>
    <row r="25" spans="1:11" ht="19.5">
      <c r="E25" s="14"/>
      <c r="F25" s="14"/>
      <c r="G25" s="14"/>
      <c r="H25" s="14"/>
      <c r="I25" s="14"/>
      <c r="J25" s="14"/>
      <c r="K25" s="16"/>
    </row>
    <row r="26" spans="1:11" ht="19.5">
      <c r="E26" s="14"/>
      <c r="F26" s="14"/>
      <c r="G26" s="14"/>
      <c r="H26" s="14"/>
      <c r="I26" s="14"/>
      <c r="J26" s="14"/>
      <c r="K26" s="16"/>
    </row>
    <row r="27" spans="1:11" ht="19.5">
      <c r="E27" s="14"/>
      <c r="F27" s="14"/>
      <c r="G27" s="14"/>
      <c r="H27" s="14"/>
      <c r="I27" s="14"/>
      <c r="J27" s="14"/>
      <c r="K27" s="16"/>
    </row>
    <row r="28" spans="1:11" ht="19.5">
      <c r="E28" s="14"/>
      <c r="F28" s="14"/>
      <c r="G28" s="14"/>
      <c r="I28" s="14"/>
      <c r="J28" s="14"/>
      <c r="K28" s="16"/>
    </row>
    <row r="29" spans="1:11" ht="19.5">
      <c r="E29" s="14"/>
      <c r="F29" s="14"/>
      <c r="G29" s="14"/>
      <c r="H29" s="14"/>
      <c r="I29" s="14"/>
      <c r="J29" s="14"/>
      <c r="K29" s="16"/>
    </row>
    <row r="30" spans="1:11" ht="19.5">
      <c r="E30" s="14"/>
      <c r="F30" s="14"/>
      <c r="G30" s="14"/>
      <c r="H30" s="14"/>
      <c r="I30" s="14"/>
      <c r="J30" s="14"/>
      <c r="K30" s="16"/>
    </row>
    <row r="31" spans="1:11" ht="19.5">
      <c r="E31" s="14"/>
      <c r="F31" s="14"/>
      <c r="G31" s="14"/>
      <c r="H31" s="14"/>
      <c r="I31" s="14"/>
      <c r="J31" s="14"/>
      <c r="K31" s="16"/>
    </row>
    <row r="32" spans="1:11" ht="19.5">
      <c r="E32" s="14"/>
      <c r="F32" s="14"/>
      <c r="G32" s="14"/>
      <c r="H32" s="14"/>
      <c r="I32" s="14"/>
      <c r="J32" s="14"/>
      <c r="K32" s="16"/>
    </row>
    <row r="33" spans="5:11" ht="19.5">
      <c r="E33" s="14"/>
      <c r="F33" s="14"/>
      <c r="G33" s="14"/>
      <c r="H33" s="14"/>
      <c r="I33" s="14"/>
      <c r="J33" s="14"/>
      <c r="K33" s="16"/>
    </row>
    <row r="34" spans="5:11" ht="19.5">
      <c r="E34" s="14"/>
      <c r="F34" s="14"/>
      <c r="G34" s="14"/>
      <c r="H34" s="14"/>
      <c r="I34" s="14"/>
      <c r="J34" s="14"/>
      <c r="K34" s="16"/>
    </row>
    <row r="35" spans="5:11" ht="19.5">
      <c r="E35" s="12"/>
      <c r="F35" s="12"/>
      <c r="G35" s="12"/>
      <c r="H35" s="12"/>
      <c r="I35" s="12"/>
      <c r="J35" s="12"/>
    </row>
    <row r="36" spans="5:11" ht="19.5">
      <c r="E36" s="12"/>
      <c r="F36" s="12"/>
      <c r="G36" s="12"/>
      <c r="H36" s="12"/>
      <c r="I36" s="12"/>
      <c r="J36" s="12"/>
    </row>
    <row r="37" spans="5:11" ht="19.5">
      <c r="E37" s="12"/>
      <c r="F37" s="12"/>
      <c r="G37" s="12"/>
      <c r="H37" s="12"/>
      <c r="I37" s="12"/>
      <c r="J37" s="12"/>
    </row>
    <row r="38" spans="5:11" ht="19.5">
      <c r="E38" s="12"/>
      <c r="F38" s="12"/>
      <c r="G38" s="12"/>
      <c r="H38" s="12"/>
      <c r="I38" s="12"/>
      <c r="J38" s="12"/>
    </row>
    <row r="39" spans="5:11" ht="19.5">
      <c r="E39" s="12"/>
      <c r="F39" s="12"/>
      <c r="G39" s="12"/>
      <c r="H39" s="12"/>
      <c r="I39" s="12"/>
      <c r="J39" s="12"/>
    </row>
    <row r="40" spans="5:11" ht="19.5">
      <c r="E40" s="12"/>
      <c r="F40" s="12"/>
      <c r="G40" s="12"/>
      <c r="H40" s="12"/>
      <c r="I40" s="12"/>
      <c r="J40" s="12"/>
    </row>
    <row r="41" spans="5:11" ht="19.5">
      <c r="E41" s="12"/>
      <c r="F41" s="12"/>
      <c r="G41" s="12"/>
      <c r="H41" s="12"/>
      <c r="I41" s="12"/>
      <c r="J41" s="12"/>
    </row>
    <row r="42" spans="5:11" ht="19.5">
      <c r="E42" s="12"/>
      <c r="F42" s="12"/>
      <c r="G42" s="12"/>
      <c r="H42" s="12"/>
      <c r="I42" s="12"/>
      <c r="J42" s="12"/>
    </row>
  </sheetData>
  <sheetProtection algorithmName="SHA-512" hashValue="Eo0w/hQGX0N+B27LswvisMk0vsBssZH/1T0atWNgVTa0j9DgRTivI/iIsuvhy6XZE+a49ydfG6IjLAki8bx1Sw==" saltValue="aq5WKDdQrqQrmvIhNpQigg==" spinCount="100000" sheet="1" objects="1" scenarios="1"/>
  <hyperlinks>
    <hyperlink ref="G7" r:id="rId1" xr:uid="{5F8D4C4F-723A-8F46-9BBC-1C8AAFC598E3}"/>
    <hyperlink ref="G5" r:id="rId2" xr:uid="{4B93141B-251B-2F4E-87CA-190F1872F220}"/>
    <hyperlink ref="G9" r:id="rId3" xr:uid="{CAB98594-B6F6-2040-AE0A-F71542A182DC}"/>
    <hyperlink ref="G11" r:id="rId4" xr:uid="{484B3DB2-4567-084C-BE32-F5362CBB5029}"/>
    <hyperlink ref="G12" r:id="rId5" xr:uid="{47851AAD-9E53-AB46-9387-AC0AC85864CF}"/>
    <hyperlink ref="G14" r:id="rId6" xr:uid="{C0BC68CD-6B46-CC4D-845C-05B2734E6A2B}"/>
    <hyperlink ref="G16" r:id="rId7" xr:uid="{C81853A7-BC98-E847-89C4-0E27D5364A07}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CDD4-A1D2-7A4A-992F-F0848CBCD511}">
  <sheetPr>
    <tabColor rgb="FFFF0000"/>
  </sheetPr>
  <dimension ref="A2:N62"/>
  <sheetViews>
    <sheetView showGridLines="0" showRowColHeaders="0" zoomScale="60" zoomScaleNormal="60" workbookViewId="0"/>
  </sheetViews>
  <sheetFormatPr defaultColWidth="10.85546875" defaultRowHeight="15"/>
  <cols>
    <col min="1" max="1" width="75.5703125" style="16" customWidth="1"/>
    <col min="2" max="2" width="14.7109375" style="16" customWidth="1"/>
    <col min="3" max="3" width="45.85546875" style="16" bestFit="1" customWidth="1"/>
    <col min="4" max="16384" width="10.85546875" style="16"/>
  </cols>
  <sheetData>
    <row r="2" spans="1:3" ht="23.25">
      <c r="A2" s="18" t="s">
        <v>439</v>
      </c>
    </row>
    <row r="3" spans="1:3">
      <c r="C3" s="19"/>
    </row>
    <row r="4" spans="1:3">
      <c r="C4" s="19"/>
    </row>
    <row r="5" spans="1:3">
      <c r="C5" s="19"/>
    </row>
    <row r="20" spans="1:7">
      <c r="A20" s="20"/>
    </row>
    <row r="21" spans="1:7">
      <c r="C21" s="19"/>
    </row>
    <row r="22" spans="1:7">
      <c r="C22" s="19"/>
    </row>
    <row r="31" spans="1:7" ht="19.5">
      <c r="A31" s="14" t="s">
        <v>447</v>
      </c>
      <c r="B31" s="14" t="s">
        <v>460</v>
      </c>
    </row>
    <row r="32" spans="1:7" ht="19.5">
      <c r="A32" s="15" t="s">
        <v>444</v>
      </c>
      <c r="B32" s="15" t="s">
        <v>445</v>
      </c>
      <c r="G32" s="15" t="s">
        <v>446</v>
      </c>
    </row>
    <row r="35" spans="1:2" ht="19.5">
      <c r="A35" s="21" t="s">
        <v>456</v>
      </c>
    </row>
    <row r="36" spans="1:2" ht="19.5">
      <c r="A36" s="21"/>
    </row>
    <row r="37" spans="1:2" ht="19.5">
      <c r="A37" s="14" t="s">
        <v>448</v>
      </c>
      <c r="B37" s="14" t="s">
        <v>459</v>
      </c>
    </row>
    <row r="38" spans="1:2" ht="19.5">
      <c r="A38" s="15" t="s">
        <v>449</v>
      </c>
      <c r="B38" s="15" t="s">
        <v>458</v>
      </c>
    </row>
    <row r="39" spans="1:2" ht="19.5">
      <c r="A39" s="14"/>
      <c r="B39" s="14"/>
    </row>
    <row r="40" spans="1:2" ht="19.5">
      <c r="A40" s="14" t="s">
        <v>450</v>
      </c>
    </row>
    <row r="41" spans="1:2" ht="19.5">
      <c r="A41" s="15" t="s">
        <v>451</v>
      </c>
    </row>
    <row r="42" spans="1:2" ht="19.5">
      <c r="A42" s="14"/>
    </row>
    <row r="43" spans="1:2" ht="19.5">
      <c r="A43" s="14" t="s">
        <v>452</v>
      </c>
    </row>
    <row r="44" spans="1:2" ht="19.5">
      <c r="A44" s="15" t="s">
        <v>453</v>
      </c>
    </row>
    <row r="45" spans="1:2" ht="19.5">
      <c r="A45" s="14"/>
    </row>
    <row r="46" spans="1:2" ht="19.5">
      <c r="A46" s="14" t="s">
        <v>454</v>
      </c>
    </row>
    <row r="47" spans="1:2" ht="19.5">
      <c r="A47" s="15" t="s">
        <v>455</v>
      </c>
    </row>
    <row r="48" spans="1:2" ht="19.5">
      <c r="A48" s="14"/>
    </row>
    <row r="51" spans="3:14" ht="19.5">
      <c r="N51" s="15" t="s">
        <v>457</v>
      </c>
    </row>
    <row r="62" spans="3:14">
      <c r="C62" s="19"/>
    </row>
  </sheetData>
  <sheetProtection algorithmName="SHA-512" hashValue="4KOO34UD8p5pQ9NG7ZdVCFo/a/992XvsU1cCK2fXfcM9v6qVTSKIEeoIUAZ02XjvwMxU+tSec/gwAY7pBEDcQg==" saltValue="bLxp6/ltAVb/SEQc2CBOhw==" spinCount="100000" sheet="1" objects="1" scenarios="1"/>
  <hyperlinks>
    <hyperlink ref="A32" r:id="rId1" xr:uid="{DA150487-BE28-0440-AF82-38B8DAFFD525}"/>
    <hyperlink ref="B32" r:id="rId2" xr:uid="{846880B8-2497-AC46-8B3F-E40361B40FD9}"/>
    <hyperlink ref="G32" r:id="rId3" xr:uid="{EA9B833B-6BD3-5342-B840-39894D745ECC}"/>
    <hyperlink ref="A38" r:id="rId4" xr:uid="{9133E86C-53C6-2342-B716-916EE4C01A6E}"/>
    <hyperlink ref="A41" r:id="rId5" xr:uid="{272E97E9-6C1C-294C-8DA0-BCB257D798EC}"/>
    <hyperlink ref="A44" r:id="rId6" xr:uid="{360378AD-4821-314F-9144-7A8DC15141EB}"/>
    <hyperlink ref="A47" r:id="rId7" xr:uid="{DD709D32-DB1A-6F4E-BAE0-04E2B01FCA12}"/>
    <hyperlink ref="N51" r:id="rId8" xr:uid="{B928DF8A-4578-C045-AF91-A48E5968DC1E}"/>
    <hyperlink ref="B38" r:id="rId9" xr:uid="{4E86BB87-FEA4-1940-9B45-484ECB8B5503}"/>
  </hyperlinks>
  <pageMargins left="0.7" right="0.7" top="0.75" bottom="0.75" header="0.3" footer="0.3"/>
  <pageSetup orientation="portrait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C268-DC1E-B34E-9A0E-149DEBCE6EAF}">
  <sheetPr>
    <tabColor rgb="FF7030A0"/>
  </sheetPr>
  <dimension ref="A2:K5"/>
  <sheetViews>
    <sheetView showGridLines="0" showRowColHeaders="0" zoomScale="60" zoomScaleNormal="60" workbookViewId="0"/>
  </sheetViews>
  <sheetFormatPr defaultColWidth="11.42578125" defaultRowHeight="15"/>
  <cols>
    <col min="11" max="11" width="33" bestFit="1" customWidth="1"/>
  </cols>
  <sheetData>
    <row r="2" spans="1:11" ht="23.25">
      <c r="A2" s="11" t="s">
        <v>462</v>
      </c>
    </row>
    <row r="5" spans="1:11">
      <c r="K5" s="9" t="s">
        <v>461</v>
      </c>
    </row>
  </sheetData>
  <sheetProtection algorithmName="SHA-512" hashValue="IhzZ53tXgSGHkQzEPEIcQDGVlKg0xudSPODJSr6ZUZ1k1BVWX4mHPLWSFJutO+IPHKLU2/SmtWRn4nxpOee9Cg==" saltValue="nhCwvTKJa016npoeapF59w==" spinCount="100000" sheet="1" objects="1" scenarios="1"/>
  <hyperlinks>
    <hyperlink ref="K5" r:id="rId1" xr:uid="{29C6E025-6C6F-9F45-BADA-F0C88CDDD43A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5C48-A228-1B4D-956E-727F26B7802C}">
  <sheetPr>
    <tabColor theme="3"/>
  </sheetPr>
  <dimension ref="A2:M40"/>
  <sheetViews>
    <sheetView showGridLines="0" showRowColHeaders="0" zoomScale="60" zoomScaleNormal="60" workbookViewId="0">
      <selection activeCell="A3" sqref="A3"/>
    </sheetView>
  </sheetViews>
  <sheetFormatPr defaultColWidth="10.85546875" defaultRowHeight="15"/>
  <cols>
    <col min="1" max="1" width="26.85546875" bestFit="1" customWidth="1"/>
    <col min="3" max="3" width="45.85546875" bestFit="1" customWidth="1"/>
    <col min="5" max="5" width="19.7109375" customWidth="1"/>
    <col min="6" max="6" width="5.28515625" customWidth="1"/>
    <col min="7" max="7" width="42.7109375" customWidth="1"/>
    <col min="8" max="8" width="80.140625" customWidth="1"/>
    <col min="10" max="10" width="20.85546875" customWidth="1"/>
  </cols>
  <sheetData>
    <row r="2" spans="1:13" ht="23.25">
      <c r="A2" s="11" t="s">
        <v>438</v>
      </c>
    </row>
    <row r="3" spans="1:13" ht="19.5">
      <c r="G3" s="12"/>
    </row>
    <row r="4" spans="1:13" ht="19.5">
      <c r="G4" s="12" t="s">
        <v>466</v>
      </c>
      <c r="H4" s="13" t="s">
        <v>468</v>
      </c>
    </row>
    <row r="5" spans="1:13" ht="19.5">
      <c r="F5" s="12"/>
      <c r="H5" s="12"/>
      <c r="I5" s="12"/>
      <c r="J5" s="12"/>
    </row>
    <row r="6" spans="1:13" ht="19.5">
      <c r="E6" s="12"/>
      <c r="F6" s="12"/>
      <c r="G6" s="57"/>
      <c r="H6" s="12"/>
      <c r="I6" s="12"/>
      <c r="J6" s="12"/>
    </row>
    <row r="7" spans="1:13" ht="19.5">
      <c r="E7" s="12"/>
      <c r="F7" s="12"/>
      <c r="G7" s="12" t="s">
        <v>467</v>
      </c>
      <c r="H7" s="13" t="s">
        <v>469</v>
      </c>
      <c r="I7" s="12"/>
      <c r="J7" s="12"/>
    </row>
    <row r="8" spans="1:13" ht="19.5">
      <c r="E8" s="12"/>
      <c r="F8" s="12"/>
      <c r="H8" s="12"/>
      <c r="I8" s="12"/>
      <c r="J8" s="12"/>
    </row>
    <row r="9" spans="1:13" ht="19.5">
      <c r="E9" s="12"/>
      <c r="F9" s="12"/>
      <c r="G9" s="12"/>
      <c r="H9" s="12"/>
      <c r="I9" s="12"/>
      <c r="J9" s="12"/>
    </row>
    <row r="10" spans="1:13" ht="19.5">
      <c r="E10" s="12"/>
      <c r="F10" s="12"/>
      <c r="G10" s="13"/>
      <c r="H10" s="12"/>
      <c r="I10" s="12"/>
      <c r="J10" s="12"/>
    </row>
    <row r="11" spans="1:13" ht="19.5">
      <c r="E11" s="12"/>
      <c r="F11" s="12"/>
      <c r="G11" s="13"/>
      <c r="H11" s="12"/>
      <c r="I11" s="12"/>
      <c r="J11" s="12"/>
    </row>
    <row r="12" spans="1:13" ht="19.5">
      <c r="E12" s="12"/>
      <c r="F12" s="12"/>
      <c r="G12" s="12"/>
      <c r="H12" s="12"/>
      <c r="I12" s="12"/>
      <c r="J12" s="12"/>
    </row>
    <row r="13" spans="1:13" ht="19.5">
      <c r="E13" s="12"/>
      <c r="F13" s="12"/>
      <c r="G13" s="13"/>
      <c r="H13" s="12"/>
      <c r="I13" s="12"/>
      <c r="J13" s="12"/>
    </row>
    <row r="14" spans="1:13" ht="19.5">
      <c r="E14" s="12"/>
      <c r="F14" s="12"/>
      <c r="G14" s="12"/>
      <c r="H14" s="12"/>
      <c r="I14" s="12"/>
      <c r="J14" s="12"/>
      <c r="M14" s="9"/>
    </row>
    <row r="15" spans="1:13" ht="19.5">
      <c r="E15" s="12"/>
      <c r="F15" s="12"/>
      <c r="G15" s="13"/>
      <c r="H15" s="12"/>
      <c r="I15" s="12"/>
      <c r="J15" s="12"/>
    </row>
    <row r="16" spans="1:13" ht="19.5">
      <c r="E16" s="12"/>
      <c r="F16" s="12"/>
      <c r="G16" s="12"/>
      <c r="H16" s="12"/>
      <c r="I16" s="12"/>
      <c r="J16" s="12"/>
    </row>
    <row r="17" spans="1:10" ht="19.5">
      <c r="E17" s="12"/>
      <c r="F17" s="12"/>
      <c r="G17" s="12"/>
      <c r="H17" s="12"/>
      <c r="I17" s="12"/>
      <c r="J17" s="12"/>
    </row>
    <row r="18" spans="1:10" ht="19.5">
      <c r="E18" s="12"/>
      <c r="F18" s="12"/>
      <c r="G18" s="12"/>
      <c r="H18" s="12"/>
      <c r="I18" s="12"/>
      <c r="J18" s="12"/>
    </row>
    <row r="19" spans="1:10" ht="19.5">
      <c r="E19" s="12"/>
      <c r="F19" s="12"/>
      <c r="G19" s="12"/>
      <c r="H19" s="12"/>
      <c r="I19" s="12"/>
      <c r="J19" s="12"/>
    </row>
    <row r="20" spans="1:10" ht="19.5">
      <c r="A20" s="10"/>
      <c r="E20" s="12"/>
      <c r="F20" s="12"/>
      <c r="G20" s="12"/>
      <c r="H20" s="12"/>
      <c r="I20" s="12"/>
      <c r="J20" s="12"/>
    </row>
    <row r="21" spans="1:10" ht="19.5">
      <c r="C21" s="9"/>
      <c r="E21" s="12"/>
      <c r="F21" s="12"/>
      <c r="G21" s="12"/>
      <c r="H21" s="12"/>
      <c r="I21" s="12"/>
      <c r="J21" s="12"/>
    </row>
    <row r="22" spans="1:10" ht="19.5">
      <c r="C22" s="9"/>
      <c r="E22" s="12"/>
      <c r="F22" s="12"/>
      <c r="G22" s="12"/>
      <c r="H22" s="12"/>
      <c r="I22" s="12"/>
      <c r="J22" s="12"/>
    </row>
    <row r="23" spans="1:10" ht="19.5">
      <c r="E23" s="12"/>
      <c r="F23" s="12"/>
      <c r="G23" s="12"/>
      <c r="H23" s="12"/>
      <c r="I23" s="12"/>
      <c r="J23" s="12"/>
    </row>
    <row r="24" spans="1:10" ht="19.5">
      <c r="E24" s="12"/>
      <c r="F24" s="12"/>
      <c r="G24" s="12"/>
      <c r="H24" s="12"/>
      <c r="I24" s="12"/>
      <c r="J24" s="12"/>
    </row>
    <row r="25" spans="1:10" ht="19.5">
      <c r="E25" s="12"/>
      <c r="F25" s="12"/>
      <c r="G25" s="12" t="s">
        <v>427</v>
      </c>
      <c r="H25" s="13" t="s">
        <v>428</v>
      </c>
      <c r="I25" s="12"/>
      <c r="J25" s="12"/>
    </row>
    <row r="26" spans="1:10" ht="19.5">
      <c r="E26" s="12"/>
      <c r="F26" s="12"/>
      <c r="H26" s="12"/>
      <c r="I26" s="12"/>
      <c r="J26" s="12"/>
    </row>
    <row r="27" spans="1:10" ht="19.5">
      <c r="E27" s="12"/>
      <c r="F27" s="12"/>
      <c r="G27" s="12"/>
      <c r="H27" s="12"/>
      <c r="I27" s="12"/>
      <c r="J27" s="12"/>
    </row>
    <row r="28" spans="1:10" ht="39">
      <c r="E28" s="12"/>
      <c r="F28" s="12"/>
      <c r="G28" s="17" t="s">
        <v>470</v>
      </c>
      <c r="H28" s="15" t="s">
        <v>471</v>
      </c>
      <c r="I28" s="12"/>
      <c r="J28" s="12"/>
    </row>
    <row r="29" spans="1:10" ht="19.5">
      <c r="E29" s="12"/>
      <c r="F29" s="12"/>
      <c r="H29" s="12"/>
      <c r="I29" s="12"/>
      <c r="J29" s="12"/>
    </row>
    <row r="30" spans="1:10" ht="19.5">
      <c r="E30" s="12"/>
      <c r="F30" s="12"/>
      <c r="G30" s="12"/>
      <c r="H30" s="12"/>
      <c r="I30" s="12"/>
      <c r="J30" s="12"/>
    </row>
    <row r="31" spans="1:10" ht="19.5">
      <c r="E31" s="12"/>
      <c r="F31" s="12"/>
      <c r="G31" s="12" t="s">
        <v>474</v>
      </c>
      <c r="H31" s="13" t="s">
        <v>475</v>
      </c>
      <c r="I31" s="13" t="s">
        <v>479</v>
      </c>
      <c r="J31" s="12" t="s">
        <v>478</v>
      </c>
    </row>
    <row r="32" spans="1:10" ht="19.5">
      <c r="E32" s="12"/>
      <c r="F32" s="12"/>
      <c r="H32" s="12"/>
      <c r="I32" s="12"/>
      <c r="J32" s="12"/>
    </row>
    <row r="33" spans="5:10" ht="19.5">
      <c r="E33" s="12"/>
      <c r="F33" s="12"/>
      <c r="G33" s="12"/>
      <c r="H33" s="12"/>
      <c r="I33" s="12"/>
      <c r="J33" s="12"/>
    </row>
    <row r="34" spans="5:10" ht="19.5">
      <c r="E34" s="12"/>
      <c r="F34" s="12"/>
      <c r="G34" s="12" t="s">
        <v>477</v>
      </c>
      <c r="H34" s="13" t="s">
        <v>476</v>
      </c>
      <c r="I34" s="13" t="s">
        <v>479</v>
      </c>
      <c r="J34" s="12" t="s">
        <v>478</v>
      </c>
    </row>
    <row r="35" spans="5:10" ht="19.5">
      <c r="E35" s="12"/>
      <c r="F35" s="12"/>
      <c r="H35" s="12"/>
      <c r="I35" s="12"/>
      <c r="J35" s="12"/>
    </row>
    <row r="37" spans="5:10" ht="19.5">
      <c r="G37" s="14" t="s">
        <v>429</v>
      </c>
      <c r="H37" s="15" t="s">
        <v>430</v>
      </c>
    </row>
    <row r="40" spans="5:10" ht="19.5">
      <c r="G40" s="12" t="s">
        <v>472</v>
      </c>
      <c r="H40" s="13" t="s">
        <v>473</v>
      </c>
    </row>
  </sheetData>
  <sheetProtection algorithmName="SHA-512" hashValue="ZKDDsW/KiluIpW00vIzFPC9o9CCTJ/nGk9y0/n8vJs1g6b5aNxgj0sDfncgu7E1IIb8uz+XQQJ68Z8+LrPNHdA==" saltValue="aYwtw+6XdFDfVvweF8uATw==" spinCount="100000" sheet="1" objects="1" scenarios="1"/>
  <hyperlinks>
    <hyperlink ref="H4" r:id="rId1" xr:uid="{816CC35B-D241-2E4C-B64F-B4774D8FF661}"/>
    <hyperlink ref="H7" r:id="rId2" xr:uid="{1D8B3810-DC00-664A-9976-3DE674836492}"/>
    <hyperlink ref="H25" r:id="rId3" xr:uid="{3D579A18-32F6-1C49-ABBC-B81F0E498427}"/>
    <hyperlink ref="H28" r:id="rId4" xr:uid="{3C443DD6-1825-2B4E-A49F-98DD0D9319AB}"/>
    <hyperlink ref="H31" r:id="rId5" xr:uid="{D75139D6-3947-D843-9CBA-655E8C4E6B28}"/>
    <hyperlink ref="H34" r:id="rId6" xr:uid="{981ECF39-1056-D944-8246-0709BD312661}"/>
    <hyperlink ref="H37" r:id="rId7" xr:uid="{FCC8C49C-1304-5F4D-89F5-95AFBA652602}"/>
    <hyperlink ref="I34" r:id="rId8" display="Call us" xr:uid="{E8E2207F-B04A-E945-B7FA-37032D131AD0}"/>
    <hyperlink ref="H40" r:id="rId9" xr:uid="{6A018FE5-EE8D-AC4B-832B-57A91120EEF3}"/>
    <hyperlink ref="I31" r:id="rId10" display="Call us" xr:uid="{1B96B378-51F8-7147-B61D-840027E6E385}"/>
  </hyperlinks>
  <pageMargins left="0.7" right="0.7" top="0.75" bottom="0.75" header="0.3" footer="0.3"/>
  <pageSetup orientation="portrait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6 m N Z V D u S N B y j A A A A 9 Q A A A B I A H A B D b 2 5 m a W c v U G F j a 2 F n Z S 5 4 b W w g o h g A K K A U A A A A A A A A A A A A A A A A A A A A A A A A A A A A h Y + x D o I w G I R f h X S n L X U R 8 l M G V 0 l M i M a 1 g Y q N 8 G N o s b y b g 4 / k K 4 h R 1 M 3 x v r t L 7 u 7 X G 2 R j 2 w Q X 3 V v T Y U o i y k m g s e w q g 3 V K B n c I l y S T s F H l S d U 6 m M J o k 9 G a l B y d O y e M e e + p X 9 C u r 5 n g P G L 7 f F 2 U R 9 2 q 0 K B 1 C k t N P q 3 q f 4 t I 2 L 3 G S E H j m A o u K A c 2 M 8 g N f n 0 x z X 2 6 P x B W Q + O G X k u N 4 b Y A N k t g 7 w v y A V B L A w Q U A A I A C A D q Y 1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m N Z V C i K R 7 g O A A A A E Q A A A B M A H A B G b 3 J t d W x h c y 9 T Z W N 0 a W 9 u M S 5 t I K I Y A C i g F A A A A A A A A A A A A A A A A A A A A A A A A A A A A C t O T S 7 J z M 9 T C I b Q h t Y A U E s B A i 0 A F A A C A A g A 6 m N Z V D u S N B y j A A A A 9 Q A A A B I A A A A A A A A A A A A A A A A A A A A A A E N v b m Z p Z y 9 Q Y W N r Y W d l L n h t b F B L A Q I t A B Q A A g A I A O p j W V Q P y u m r p A A A A O k A A A A T A A A A A A A A A A A A A A A A A O 8 A A A B b Q 2 9 u d G V u d F 9 U e X B l c 1 0 u e G 1 s U E s B A i 0 A F A A C A A g A 6 m N Z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7 X z b g 3 V n 5 P j M n U e 2 f a V Z o A A A A A A g A A A A A A A 2 Y A A M A A A A A Q A A A A 3 3 q W n e j a q g 8 v l 3 s F c b D 8 b A A A A A A E g A A A o A A A A B A A A A B r n t i c N B y 7 d z y N S t z J t j y m U A A A A J E h E g B e 9 i c B / 1 E X X a z + D e h X i i c Y S J c C 0 O b 7 N D K a L 6 F w v i N D k e 9 Y + W 4 F H / h W l A S 5 j v S / W i / m i i p 4 Y x y K E p 6 s 2 d u 5 L f 5 U E Q o O 5 T J v f f U a Y w f g F A A A A G s j 3 h n G T P m h / g m i 2 w J W M q X M O P n a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036156E04D34095A54C14EDE5F751" ma:contentTypeVersion="18" ma:contentTypeDescription="Create a new document." ma:contentTypeScope="" ma:versionID="b0be979ea65e07f2aee952f841aa0079">
  <xsd:schema xmlns:xsd="http://www.w3.org/2001/XMLSchema" xmlns:xs="http://www.w3.org/2001/XMLSchema" xmlns:p="http://schemas.microsoft.com/office/2006/metadata/properties" xmlns:ns2="7f3cc74d-5f99-4857-ba57-470b26cc5556" xmlns:ns3="18c7b864-3fef-420c-8e5b-1f2ec0a4c365" xmlns:ns4="56810815-8df0-4f10-8da7-34164765fbe3" targetNamespace="http://schemas.microsoft.com/office/2006/metadata/properties" ma:root="true" ma:fieldsID="b01ee65e5265cb32952e3380f56899fa" ns2:_="" ns3:_="" ns4:_="">
    <xsd:import namespace="7f3cc74d-5f99-4857-ba57-470b26cc5556"/>
    <xsd:import namespace="18c7b864-3fef-420c-8e5b-1f2ec0a4c365"/>
    <xsd:import namespace="56810815-8df0-4f10-8da7-34164765f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c74d-5f99-4857-ba57-470b26cc5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3edab7-d5f1-4c02-989a-0e8ed7c6c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7b864-3fef-420c-8e5b-1f2ec0a4c3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10815-8df0-4f10-8da7-34164765fbe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06b8545-833a-4b0e-b985-11ec7f9c2683}" ma:internalName="TaxCatchAll" ma:showField="CatchAllData" ma:web="18c7b864-3fef-420c-8e5b-1f2ec0a4c3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810815-8df0-4f10-8da7-34164765fbe3" xsi:nil="true"/>
    <lcf76f155ced4ddcb4097134ff3c332f xmlns="7f3cc74d-5f99-4857-ba57-470b26cc55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AFF5F7-425A-40BE-B933-ED2AB66DA24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C7E4060-3829-4536-8A85-C852CE4AF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6F28F-4C9B-428C-B6C7-F222BE206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c74d-5f99-4857-ba57-470b26cc5556"/>
    <ds:schemaRef ds:uri="18c7b864-3fef-420c-8e5b-1f2ec0a4c365"/>
    <ds:schemaRef ds:uri="56810815-8df0-4f10-8da7-34164765f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1D3F2C7-3F2C-447E-A8DA-CCD28ECEC011}">
  <ds:schemaRefs>
    <ds:schemaRef ds:uri="http://schemas.microsoft.com/office/2006/metadata/properties"/>
    <ds:schemaRef ds:uri="http://schemas.microsoft.com/office/infopath/2007/PartnerControls"/>
    <ds:schemaRef ds:uri="56810815-8df0-4f10-8da7-34164765fbe3"/>
    <ds:schemaRef ds:uri="7f3cc74d-5f99-4857-ba57-470b26cc5556"/>
  </ds:schemaRefs>
</ds:datastoreItem>
</file>

<file path=docMetadata/LabelInfo.xml><?xml version="1.0" encoding="utf-8"?>
<clbl:labelList xmlns:clbl="http://schemas.microsoft.com/office/2020/mipLabelMetadata">
  <clbl:label id="{6f75f480-7803-4ee9-bb54-84d0635fdbe7}" enabled="1" method="Privilege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Training Material</vt:lpstr>
      <vt:lpstr>Manuals SINUMERIK ONE</vt:lpstr>
      <vt:lpstr>Manuals 840D sl - 828D</vt:lpstr>
      <vt:lpstr>Important websites</vt:lpstr>
      <vt:lpstr>Social Media channels</vt:lpstr>
      <vt:lpstr>Join our Contact List</vt:lpstr>
      <vt:lpstr>Additional websites</vt:lpstr>
      <vt:lpstr>'Training Material'!Print_Area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Pollack, Christopher</dc:creator>
  <cp:keywords>C_Unrestricted</cp:keywords>
  <cp:lastModifiedBy>Meyer, John (RC-US DI CM)</cp:lastModifiedBy>
  <cp:lastPrinted>2020-01-07T19:08:46Z</cp:lastPrinted>
  <dcterms:created xsi:type="dcterms:W3CDTF">2019-01-23T14:21:05Z</dcterms:created>
  <dcterms:modified xsi:type="dcterms:W3CDTF">2025-03-10T19:18:31Z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ContentTypeId">
    <vt:lpwstr>0x010100E71036156E04D34095A54C14EDE5F751</vt:lpwstr>
  </property>
  <property fmtid="{D5CDD505-2E9C-101B-9397-08002B2CF9AE}" pid="7" name="MediaServiceImageTags">
    <vt:lpwstr/>
  </property>
  <property fmtid="{D5CDD505-2E9C-101B-9397-08002B2CF9AE}" pid="8" name="MSIP_Label_6f75f480-7803-4ee9-bb54-84d0635fdbe7_Enabled">
    <vt:lpwstr>true</vt:lpwstr>
  </property>
  <property fmtid="{D5CDD505-2E9C-101B-9397-08002B2CF9AE}" pid="9" name="MSIP_Label_6f75f480-7803-4ee9-bb54-84d0635fdbe7_SetDate">
    <vt:lpwstr>2023-07-28T20:02:28Z</vt:lpwstr>
  </property>
  <property fmtid="{D5CDD505-2E9C-101B-9397-08002B2CF9AE}" pid="10" name="MSIP_Label_6f75f480-7803-4ee9-bb54-84d0635fdbe7_Method">
    <vt:lpwstr>Privileged</vt:lpwstr>
  </property>
  <property fmtid="{D5CDD505-2E9C-101B-9397-08002B2CF9AE}" pid="11" name="MSIP_Label_6f75f480-7803-4ee9-bb54-84d0635fdbe7_Name">
    <vt:lpwstr>unrestricted</vt:lpwstr>
  </property>
  <property fmtid="{D5CDD505-2E9C-101B-9397-08002B2CF9AE}" pid="12" name="MSIP_Label_6f75f480-7803-4ee9-bb54-84d0635fdbe7_SiteId">
    <vt:lpwstr>38ae3bcd-9579-4fd4-adda-b42e1495d55a</vt:lpwstr>
  </property>
  <property fmtid="{D5CDD505-2E9C-101B-9397-08002B2CF9AE}" pid="13" name="MSIP_Label_6f75f480-7803-4ee9-bb54-84d0635fdbe7_ActionId">
    <vt:lpwstr>4480956a-808b-41f4-a7af-c023c87912f2</vt:lpwstr>
  </property>
  <property fmtid="{D5CDD505-2E9C-101B-9397-08002B2CF9AE}" pid="14" name="MSIP_Label_6f75f480-7803-4ee9-bb54-84d0635fdbe7_ContentBits">
    <vt:lpwstr>0</vt:lpwstr>
  </property>
  <property fmtid="{D5CDD505-2E9C-101B-9397-08002B2CF9AE}" pid="15" name="Document_Confidentiality">
    <vt:lpwstr>Unrestricted</vt:lpwstr>
  </property>
</Properties>
</file>